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<sst xmlns="http://schemas.openxmlformats.org/spreadsheetml/2006/main" count="306" uniqueCount="215">
  <si>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</si>
  <si>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</si>
  <si>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</si>
  <si>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</si>
  <si>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</si>
  <si>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</si>
  <si>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</si>
  <si>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</si>
  <si>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</si>
  <si>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</si>
  <si>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</si>
  <si>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</si>
  <si>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Стоимость на кв.м. в мес., руб.</t>
  </si>
  <si>
    <t>Общ. площ.,кв.м.</t>
  </si>
  <si>
    <t>Внутридомовое инженерное оборудование и технические устройства</t>
  </si>
  <si>
    <t>Прочистка и промывка отопительных приборов радиаторов весом до 80 кг внутри здания</t>
  </si>
  <si>
    <t>100 приборов</t>
  </si>
  <si>
    <t>Утепление трубопровода центрального отопления (водоснабжения)</t>
  </si>
  <si>
    <t>100 м2 утепленного участка</t>
  </si>
  <si>
    <t>Ремонт прибора учета</t>
  </si>
  <si>
    <t>прибор</t>
  </si>
  <si>
    <t>Ремонт насосов малой мощности, диаметр патрубка 25 мм</t>
  </si>
  <si>
    <t>100 насосов</t>
  </si>
  <si>
    <t>Смена вентиля диаметром 25 мм</t>
  </si>
  <si>
    <t>100 вентилей</t>
  </si>
  <si>
    <t>Установка кранов для спуска воздуха из системы, диаметр крана 21-25 мм</t>
  </si>
  <si>
    <t>100 кранов</t>
  </si>
  <si>
    <t>Ремонт приборов учета воды условным диаметром 25-40 мм</t>
  </si>
  <si>
    <t>Счетчик воды</t>
  </si>
  <si>
    <t>Смена вентилей и клапанов обратных муфтовых диаметром до 32  мм</t>
  </si>
  <si>
    <t>100 шт.</t>
  </si>
  <si>
    <t>Замена внутренних пожарных кранов</t>
  </si>
  <si>
    <t>Устранение засоров внутренних канализационных трубопроводов</t>
  </si>
  <si>
    <t>100 м трубы</t>
  </si>
  <si>
    <t>Ремонт общедомового прибора учета электрической энергии</t>
  </si>
  <si>
    <t xml:space="preserve">1 прибор учета </t>
  </si>
  <si>
    <t>Осмотр территории вокруг здания и фундамента</t>
  </si>
  <si>
    <t>1000 кв.м. общей площади</t>
  </si>
  <si>
    <t>Осмотр кирпичных и железобетонных стен, фасадов</t>
  </si>
  <si>
    <t>Осмотр деревянных стен, перегородок</t>
  </si>
  <si>
    <t>Осмотр деревянных перекрытий</t>
  </si>
  <si>
    <t>Осмотр деревянных покрытий, полов</t>
  </si>
  <si>
    <t>1000 кв.м. полов</t>
  </si>
  <si>
    <t>Осмотр железобетонных перекрытий</t>
  </si>
  <si>
    <t>Осмотр железобетонных покрытий</t>
  </si>
  <si>
    <t>Осмотр внутренней отделки стен</t>
  </si>
  <si>
    <t>Осмотр заполнения дверных и оконных проемов</t>
  </si>
  <si>
    <t>Осмотр всех элементов стальных кровель, водостоков</t>
  </si>
  <si>
    <t>1000 кв.м. кровли</t>
  </si>
  <si>
    <t>Осмотр всех элементов кровель из штучных материалов, водостоков</t>
  </si>
  <si>
    <t>Осмотр водопровода, канализации и горячего водоснабжения</t>
  </si>
  <si>
    <t>100 квартир</t>
  </si>
  <si>
    <t>Проверка наличия тяги в  дымовентиляционных каналах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</si>
  <si>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</si>
  <si>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</si>
  <si>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100 лестничных площадок</t>
  </si>
  <si>
    <t>Осмотр внутриквартирных устройств системы центрального отопления</t>
  </si>
  <si>
    <t>Регулировка и наладка систем отопления</t>
  </si>
  <si>
    <t>1 здание</t>
  </si>
  <si>
    <t>Первое рабочее испытание отдельных частей системы при диаметре трубопровода до 50 мм</t>
  </si>
  <si>
    <t>100 м трубопровода</t>
  </si>
  <si>
    <t>Проверка на прогрев отопительных приборов с регулировкой</t>
  </si>
  <si>
    <t>Визуальный осмотр прибора учета воды диаметром 50-250 мм и проверка наличия и нарушения пломб</t>
  </si>
  <si>
    <t>1 прибор учета</t>
  </si>
  <si>
    <t>Визуальный осмотр и проверка наличия и нарушения пломб (узел учета тепловой энергии диаметром 50-250 мм)</t>
  </si>
  <si>
    <t>1 узел учета</t>
  </si>
  <si>
    <t>Устранение аварии на внутридомовых инженерных сетях при сроке эксплуатации многоквартирного дома от 11 до 30  лет</t>
  </si>
  <si>
    <t>1000 м2  общей площади жилых помещений, оборудованных газовыми плитами (в год для одной смены)</t>
  </si>
  <si>
    <t>Итого по разделу:</t>
  </si>
  <si>
    <t>Санитарное содержание мест общего пользования, благоустройство придомовой территории и прочие работы</t>
  </si>
  <si>
    <t>Мытье  лестничных площадок и маршей  выше третьего этажа (в доме без лифтов и мусоропровода)</t>
  </si>
  <si>
    <t>100 м2 убираемой  площади</t>
  </si>
  <si>
    <t>Протирка пыли  с подоконников в помещениях общего  пользования</t>
  </si>
  <si>
    <t xml:space="preserve">100 м2 подоконников </t>
  </si>
  <si>
    <t>Мытье и протирка дверей  в помещениях общего пользования</t>
  </si>
  <si>
    <t>100 м2 дверей</t>
  </si>
  <si>
    <t>Мытье и протирка оконных рам и переплетов в помещениях общего пользования</t>
  </si>
  <si>
    <t>100 м2 оконных рам</t>
  </si>
  <si>
    <t>Влажная протирка почтовых ящиков (с моющим средством)</t>
  </si>
  <si>
    <t>100 кв.м почтовых ящиков</t>
  </si>
  <si>
    <t>Влажная протирка перил лестниц (с моющим средством)</t>
  </si>
  <si>
    <t>100 кв.м. перил лестниц</t>
  </si>
  <si>
    <t>Очистка опрокидывающихся урн от мусора</t>
  </si>
  <si>
    <t>на 100 урн</t>
  </si>
  <si>
    <t>Осмотр детских и спортивных площадок</t>
  </si>
  <si>
    <t>1 модуль</t>
  </si>
  <si>
    <t>Очистка от наледи и льда крышек люков пожарных колодцев</t>
  </si>
  <si>
    <t>1 шт</t>
  </si>
  <si>
    <t>Очистка кровли от снега, сбивание сосулек (при толщине слоя до 10 см)</t>
  </si>
  <si>
    <t>100 кв.м. кровли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</si>
  <si>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</si>
  <si>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</si>
  <si>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</si>
  <si>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Очистка контейнерной площадки в холодный период</t>
  </si>
  <si>
    <t>Уборка мусора на  контейнерных  площадках</t>
  </si>
  <si>
    <t>на 100 кв.м.</t>
  </si>
  <si>
    <t>Дератизация чердаков и подвалов с применением готовой приманки типа "Шторм" -  антикоагулянта II поколения</t>
  </si>
  <si>
    <t>1000 м2  обрабатываемых  помещений</t>
  </si>
  <si>
    <t>Транспортировка ТБО  на мусоровозе 7,5-11 куб. м (коэффициент уплотнения 1,6)</t>
  </si>
  <si>
    <t>100 куб.м/км</t>
  </si>
  <si>
    <t>ИТОГО ПО СМЕТЕ: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</si>
  <si>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</si>
  <si>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</si>
  <si>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</si>
  <si>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</si>
  <si>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</si>
  <si>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</si>
  <si>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Расходы на управление,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</si>
  <si>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</si>
  <si>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</si>
  <si>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</si>
  <si>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</si>
  <si>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</si>
  <si>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</si>
  <si>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Бетонщик 4 разряда</t>
  </si>
  <si>
    <t>чел.-час</t>
  </si>
  <si>
    <t>Водитель автомобиля 4 разряда</t>
  </si>
  <si>
    <t>Грузчик 1 разряда</t>
  </si>
  <si>
    <t>Дворник 1 разряда</t>
  </si>
  <si>
    <t>Дезинфектор 3 разряда</t>
  </si>
  <si>
    <t>Изолировщик на термоизоляции 2 разряда</t>
  </si>
  <si>
    <t>Изолировщик на термоизоляции 3 разряда</t>
  </si>
  <si>
    <t>Каменщик 3 разряда</t>
  </si>
  <si>
    <t>Кровельщик по рулонным кровлям и по кровлям из штучных материалов 4 разряда</t>
  </si>
  <si>
    <t>Кровельщик по стальным кровлям 4 разряда</t>
  </si>
  <si>
    <t>Монтажник санитарно-технических систем и оборудования 4 разряда</t>
  </si>
  <si>
    <t>Плотник 4 разряда</t>
  </si>
  <si>
    <t>Подсобный рабочий 1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</si>
  <si>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</si>
  <si>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3 разряда</t>
  </si>
  <si>
    <t>Рабочий по комплексному обслуживанию и ремонту зданий 4 разряда</t>
  </si>
  <si>
    <t>Слесарь по контрольно-измерительным приборам и автоматике 4 разряда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</si>
  <si>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</si>
  <si>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</si>
  <si>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3 разряда</t>
  </si>
  <si>
    <t>Слесарь-сантехник 4 разряда</t>
  </si>
  <si>
    <t>Слесарь-сантехник 5 разряда</t>
  </si>
  <si>
    <t>Слесарь-сантехник 6 разряда</t>
  </si>
  <si>
    <t>Столяр строительный 4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</si>
  <si>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</si>
  <si>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</si>
  <si>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4 разряда</t>
  </si>
  <si>
    <t>ИТОГО:</t>
  </si>
  <si>
    <t>Материальные ресурсы</t>
  </si>
  <si>
    <t>Асбест</t>
  </si>
  <si>
    <t>т</t>
  </si>
  <si>
    <t>Болты с гайками и шайбами для санитарно-технических работ, диаметром 12 мм</t>
  </si>
  <si>
    <t>Болты с гайками и шайбами для санитарно-технических работ, диаметром 16 мм</t>
  </si>
  <si>
    <t>Вентили проходные муфтовые 15КЧ18Р для воды, давлением 1.6 МПа (16 кгс/см2), диаметром 25 мм</t>
  </si>
  <si>
    <t>шт.</t>
  </si>
  <si>
    <t>Вентиль обратный муфтовый диаметром до 32 мм</t>
  </si>
  <si>
    <t>Вентиль пожарный</t>
  </si>
  <si>
    <t>Ветошь</t>
  </si>
  <si>
    <t>кг</t>
  </si>
  <si>
    <t>Вода водопроводная</t>
  </si>
  <si>
    <t>м3</t>
  </si>
  <si>
    <t>Выключатели автоматические</t>
  </si>
  <si>
    <t xml:space="preserve">Головки для пожарных рукавов соединительные напорные, давлением 1,2 МПа (12 кгс/см2) рукавные, диаметром 50 мм      </t>
  </si>
  <si>
    <t>Готовая приманка</t>
  </si>
  <si>
    <t>Датчик давления</t>
  </si>
  <si>
    <t>Датчик температуры</t>
  </si>
  <si>
    <t xml:space="preserve">Керосин для технических целей марок КТ-1, КТ-2 </t>
  </si>
  <si>
    <t xml:space="preserve">Краны для спуска воздуха из системы </t>
  </si>
  <si>
    <t>10 шт.</t>
  </si>
  <si>
    <t>Краски масляные земляные  МА-0115: мумия, сурик  железный</t>
  </si>
  <si>
    <t>Краски масляные и алкидные густотертые: цинковые МА-011-2</t>
  </si>
  <si>
    <t>Краски масляные и алкидные густотертые: цинковые МА-011-2Н</t>
  </si>
  <si>
    <t xml:space="preserve">Лен трепаный </t>
  </si>
  <si>
    <t xml:space="preserve">Масса корундовая набивная марки МК-90                   </t>
  </si>
  <si>
    <t>Маты на крафт-бумаге Ламелла</t>
  </si>
  <si>
    <t>Маты прошивные из супертонкого стекловолокна без связующего толщиной 50 мм</t>
  </si>
  <si>
    <t>Мешки полиэтиленовые, 60 л</t>
  </si>
  <si>
    <t>1000 шт.</t>
  </si>
  <si>
    <t>Моющее средство</t>
  </si>
  <si>
    <t>Мыло</t>
  </si>
  <si>
    <t xml:space="preserve">Набивка сальника водяного насоса с двухслойным оплетением сердечника, квадратная, диаметром 12 мм </t>
  </si>
  <si>
    <t>Олифа комбинированная К-3</t>
  </si>
  <si>
    <t>Олифа натуральная</t>
  </si>
  <si>
    <t>Очес льняной</t>
  </si>
  <si>
    <t>Паронит</t>
  </si>
  <si>
    <t>Первичный преобразователь расхода</t>
  </si>
  <si>
    <t>Портландцемент пуццолановый  марки М400</t>
  </si>
  <si>
    <t xml:space="preserve">Прядь льняная </t>
  </si>
  <si>
    <t xml:space="preserve">Раствор асбоцементный </t>
  </si>
  <si>
    <t>Растворитель - бензин</t>
  </si>
  <si>
    <t>Резина листовая вулканизованная цветная</t>
  </si>
  <si>
    <t xml:space="preserve">Рукава пожарные льняные сухого прядения нормальные, 51 мм                          </t>
  </si>
  <si>
    <t>пог. м</t>
  </si>
  <si>
    <t>Сетка плетеная одинарная с квадратной ячейкой 12 мм из  проволоки диаметром 1,4 мм</t>
  </si>
  <si>
    <t>м2</t>
  </si>
  <si>
    <t>Смазка солидол жировой Ж</t>
  </si>
  <si>
    <t xml:space="preserve">Стволы пожарные ручные марки РС, диаметр 50 мм              </t>
  </si>
  <si>
    <t>Стекло приборное</t>
  </si>
  <si>
    <t>Сурик свинцовый тертый</t>
  </si>
  <si>
    <t>Ткань мешочная</t>
  </si>
  <si>
    <t>10 м2</t>
  </si>
  <si>
    <t>Трансформатор</t>
  </si>
  <si>
    <t>Фильтры для очистки воды в трубопроводах систем отопления</t>
  </si>
  <si>
    <t>Фланцы стальные плоские приварные из стали ВСт3сп2,  ВСт3сп3; давлением 0.1 и 0.25  МПа (1 и 2.5 кгс/см2),   диаметром 25 мм</t>
  </si>
  <si>
    <t>Шкафчик для пожарных рукавов  (навесной, закрытый на 2 огнетушителя)</t>
  </si>
  <si>
    <t>Электроды диаметром 5 мм Э42</t>
  </si>
  <si>
    <t>Специнвентарь</t>
  </si>
  <si>
    <t>Ведро  оцинкованное</t>
  </si>
  <si>
    <t>Лопата совковая</t>
  </si>
  <si>
    <t>Метла березовая</t>
  </si>
  <si>
    <t>Скребок-ледоруб</t>
  </si>
  <si>
    <t xml:space="preserve">Швабра </t>
  </si>
  <si>
    <t>Щетка д/пола 280 мм с черенком на резьбе 1,2 м.</t>
  </si>
  <si>
    <t>Машины/Механизмы</t>
  </si>
  <si>
    <t>Транспортировка на мусоровозе 7,5-11 куб.м</t>
  </si>
  <si>
    <t>маш.-час.</t>
  </si>
  <si>
    <t>Установки для гидравлических испытаний трубопроводов, давление нагнетания низкое 0,1 мПа (1 кгс/см2), высокое 10 мПа (100 кгс/см2)</t>
  </si>
  <si>
    <t>маш.-час</t>
  </si>
  <si>
    <t xml:space="preserve">Смета расходов. Список работ        по типу многоквартирного дома 1 </t>
  </si>
  <si>
    <t>2-5 этажные капитальные дома, имеющие все виды благоустройства с горячим водоснабжением через централизованные тепловые пункты без оформления права собственности на земельный участок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</si>
</sst>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b/>
      <sz val="11"/>
      <color indexed="13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13"/>
      <name val="Arial"/>
      <family val="0"/>
    </font>
    <font>
      <b/>
      <sz val="18"/>
      <color indexed="17"/>
      <name val="Courier"/>
      <family val="0"/>
    </font>
    <font>
      <b/>
      <sz val="10"/>
      <color indexed="9"/>
      <name val="Courier"/>
      <family val="0"/>
    </font>
    <font>
      <b/>
      <sz val="12"/>
      <color indexed="17"/>
      <name val="Courier"/>
      <family val="0"/>
    </font>
    <font>
      <b/>
      <sz val="9"/>
      <color indexed="17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3" xfId="0" applyNumberFormat="1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4" fontId="7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4" fontId="0" fillId="0" borderId="18" xfId="0" applyNumberFormat="1" applyFill="1" applyBorder="1" applyAlignment="1" applyProtection="1">
      <alignment horizontal="right" vertical="center" wrapText="1"/>
      <protection/>
    </xf>
    <xf numFmtId="4" fontId="0" fillId="0" borderId="19" xfId="0" applyNumberFormat="1" applyFill="1" applyBorder="1" applyAlignment="1" applyProtection="1">
      <alignment horizontal="right" vertical="center" wrapText="1"/>
      <protection/>
    </xf>
    <xf numFmtId="4" fontId="0" fillId="0" borderId="20" xfId="0" applyNumberFormat="1" applyFill="1" applyBorder="1" applyAlignment="1" applyProtection="1">
      <alignment horizontal="right" vertical="center" wrapText="1"/>
      <protection/>
    </xf>
    <xf numFmtId="4" fontId="6" fillId="35" borderId="21" xfId="0" applyNumberFormat="1" applyFont="1" applyFill="1" applyBorder="1" applyAlignment="1" applyProtection="1">
      <alignment horizontal="right" vertical="center" wrapText="1"/>
      <protection/>
    </xf>
    <xf numFmtId="4" fontId="6" fillId="35" borderId="22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0" fillId="36" borderId="23" xfId="0" applyFont="1" applyFill="1" applyBorder="1" applyAlignment="1" applyProtection="1">
      <alignment horizontal="center" vertical="center" wrapText="1"/>
      <protection/>
    </xf>
    <xf numFmtId="0" fontId="10" fillId="36" borderId="24" xfId="0" applyFont="1" applyFill="1" applyBorder="1" applyAlignment="1" applyProtection="1">
      <alignment horizontal="center" vertical="center" wrapText="1"/>
      <protection/>
    </xf>
    <xf numFmtId="0" fontId="10" fillId="36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right" vertical="center" wrapText="1"/>
      <protection/>
    </xf>
    <xf numFmtId="4" fontId="0" fillId="0" borderId="28" xfId="0" applyNumberFormat="1" applyFill="1" applyBorder="1" applyAlignment="1" applyProtection="1">
      <alignment horizontal="right" vertical="center" wrapText="1"/>
      <protection/>
    </xf>
    <xf numFmtId="4" fontId="0" fillId="0" borderId="29" xfId="0" applyNumberFormat="1" applyFill="1" applyBorder="1" applyAlignment="1" applyProtection="1">
      <alignment horizontal="right" vertical="center" wrapText="1"/>
      <protection/>
    </xf>
    <xf numFmtId="4" fontId="0" fillId="0" borderId="30" xfId="0" applyNumberFormat="1" applyFill="1" applyBorder="1" applyAlignment="1" applyProtection="1">
      <alignment horizontal="right" vertical="center" wrapText="1"/>
      <protection/>
    </xf>
    <xf numFmtId="4" fontId="12" fillId="0" borderId="3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6" fillId="34" borderId="32" xfId="0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5" borderId="33" xfId="0" applyFont="1" applyFill="1" applyBorder="1" applyAlignment="1" applyProtection="1">
      <alignment horizontal="right" vertical="center" wrapText="1"/>
      <protection/>
    </xf>
    <xf numFmtId="0" fontId="6" fillId="35" borderId="21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0" fontId="5" fillId="37" borderId="35" xfId="0" applyFont="1" applyFill="1" applyBorder="1" applyAlignment="1" applyProtection="1">
      <alignment horizontal="left" vertical="center" wrapText="1"/>
      <protection/>
    </xf>
    <xf numFmtId="0" fontId="5" fillId="37" borderId="36" xfId="0" applyFont="1" applyFill="1" applyBorder="1" applyAlignment="1" applyProtection="1">
      <alignment horizontal="left" vertical="center" wrapText="1"/>
      <protection/>
    </xf>
    <xf numFmtId="4" fontId="5" fillId="37" borderId="36" xfId="0" applyNumberFormat="1" applyFont="1" applyFill="1" applyBorder="1" applyAlignment="1" applyProtection="1">
      <alignment horizontal="left" vertical="center" wrapText="1"/>
      <protection/>
    </xf>
    <xf numFmtId="4" fontId="5" fillId="37" borderId="37" xfId="0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Fill="1" applyBorder="1" applyAlignment="1" applyProtection="1">
      <alignment horizontal="left" vertical="center" wrapText="1"/>
      <protection/>
    </xf>
    <xf numFmtId="0" fontId="12" fillId="0" borderId="39" xfId="0" applyFont="1" applyFill="1" applyBorder="1" applyAlignment="1" applyProtection="1">
      <alignment horizontal="left" vertical="center" wrapText="1"/>
      <protection/>
    </xf>
    <xf numFmtId="4" fontId="12" fillId="0" borderId="39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455A64"/>
      <rgbColor rgb="00CFD8DC"/>
      <rgbColor rgb="00ECEFF1"/>
      <rgbColor rgb="00FFE0B2"/>
      <rgbColor rgb="00600000"/>
      <rgbColor rgb="004682B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6"/>
  <sheetViews>
    <sheetView tabSelected="1" workbookViewId="0" topLeftCell="F52">
      <selection activeCell="B5" sqref="B5:N5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4" width="15.00390625" style="0" customWidth="1"/>
  </cols>
  <sheetData>
    <row r="1" spans="2:14" ht="23.25">
      <c r="B1" s="42" t="s">
        <v>213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"/>
    </row>
    <row r="3" spans="2:14" ht="54.75" customHeight="1"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4" t="s">
        <v>12</v>
      </c>
    </row>
    <row r="4" spans="2:14" ht="46.5" customHeight="1">
      <c r="B4" s="43" t="s">
        <v>214</v>
      </c>
      <c r="C4" s="35"/>
      <c r="D4" s="35"/>
      <c r="E4" s="35"/>
      <c r="F4" s="35"/>
      <c r="G4" s="44"/>
      <c r="H4" s="44"/>
      <c r="I4" s="44"/>
      <c r="J4" s="44"/>
      <c r="K4" s="44"/>
      <c r="L4" s="45" t="s">
        <v>13</v>
      </c>
      <c r="M4" s="45"/>
      <c r="N4" s="16">
        <v>2000</v>
      </c>
    </row>
    <row r="5" spans="2:14" ht="21.75" customHeight="1">
      <c r="B5" s="46" t="s">
        <v>14</v>
      </c>
      <c r="C5" s="47"/>
      <c r="D5" s="47"/>
      <c r="E5" s="47"/>
      <c r="F5" s="47"/>
      <c r="G5" s="48"/>
      <c r="H5" s="48"/>
      <c r="I5" s="48"/>
      <c r="J5" s="48"/>
      <c r="K5" s="48"/>
      <c r="L5" s="48"/>
      <c r="M5" s="48"/>
      <c r="N5" s="49"/>
    </row>
    <row r="6" spans="2:14" ht="24">
      <c r="B6" s="8">
        <v>1</v>
      </c>
      <c r="C6" s="6" t="s">
        <v>15</v>
      </c>
      <c r="D6" s="6" t="s">
        <v>16</v>
      </c>
      <c r="E6" s="10">
        <v>0.1</v>
      </c>
      <c r="F6" s="10">
        <v>1</v>
      </c>
      <c r="G6" s="13">
        <f>62009.84808*E6*F6</f>
        <v>6200.984808000001</v>
      </c>
      <c r="H6" s="13">
        <f>1542.3482929*E6*F6</f>
        <v>154.23482929</v>
      </c>
      <c r="I6" s="13">
        <f aca="true" t="shared" si="0" ref="I6:I33">0*E6*F6</f>
        <v>0</v>
      </c>
      <c r="J6" s="13">
        <f>59033.37537216*E6*F6</f>
        <v>5903.337537216001</v>
      </c>
      <c r="K6" s="13">
        <f>12871.485033231*E6*F6</f>
        <v>1287.1485033231002</v>
      </c>
      <c r="L6" s="13">
        <f>12401.969616*E6*F6</f>
        <v>1240.1969616000001</v>
      </c>
      <c r="M6" s="13">
        <f aca="true" t="shared" si="1" ref="M6:M38">SUM(G6:L6)</f>
        <v>14785.902639429101</v>
      </c>
      <c r="N6" s="17">
        <f>IF(N4&gt;0,(M6/$N$4/12),0)</f>
        <v>0.6160792766428792</v>
      </c>
    </row>
    <row r="7" spans="2:14" ht="24">
      <c r="B7" s="9">
        <v>2</v>
      </c>
      <c r="C7" s="7" t="s">
        <v>17</v>
      </c>
      <c r="D7" s="7" t="s">
        <v>18</v>
      </c>
      <c r="E7" s="11">
        <v>0.2</v>
      </c>
      <c r="F7" s="11">
        <v>1</v>
      </c>
      <c r="G7" s="14">
        <f>20042.1045*E7*F7</f>
        <v>4008.4209000000005</v>
      </c>
      <c r="H7" s="14">
        <f>234134.89154388*E7*F7</f>
        <v>46826.978308776</v>
      </c>
      <c r="I7" s="14">
        <f t="shared" si="0"/>
        <v>0</v>
      </c>
      <c r="J7" s="14">
        <f>19080.083484*E7*F7</f>
        <v>3816.0166968</v>
      </c>
      <c r="K7" s="14">
        <f>28691.993350427*E7*F7</f>
        <v>5738.3986700854</v>
      </c>
      <c r="L7" s="14">
        <f>4008.4209*E7*F7</f>
        <v>801.6841800000001</v>
      </c>
      <c r="M7" s="14">
        <f t="shared" si="1"/>
        <v>61191.49875566139</v>
      </c>
      <c r="N7" s="18">
        <f>IF(N4&gt;0,(M7/$N$4/12),0)</f>
        <v>2.5496457814858915</v>
      </c>
    </row>
    <row r="8" spans="2:14" ht="12">
      <c r="B8" s="9">
        <v>3</v>
      </c>
      <c r="C8" s="7" t="s">
        <v>19</v>
      </c>
      <c r="D8" s="7" t="s">
        <v>20</v>
      </c>
      <c r="E8" s="11">
        <v>1</v>
      </c>
      <c r="F8" s="11">
        <v>1</v>
      </c>
      <c r="G8" s="14">
        <f>498.254432*E8*F8</f>
        <v>498.254432</v>
      </c>
      <c r="H8" s="14">
        <f>24295.89842475*E8*F8</f>
        <v>24295.89842475</v>
      </c>
      <c r="I8" s="14">
        <f t="shared" si="0"/>
        <v>0</v>
      </c>
      <c r="J8" s="14">
        <f>474.338219264*E8*F8</f>
        <v>474.338219264</v>
      </c>
      <c r="K8" s="14">
        <f>2653.1915629815*E8*F8</f>
        <v>2653.1915629815</v>
      </c>
      <c r="L8" s="14">
        <f>99.6508864*E8*F8</f>
        <v>99.6508864</v>
      </c>
      <c r="M8" s="14">
        <f t="shared" si="1"/>
        <v>28021.3335253955</v>
      </c>
      <c r="N8" s="18">
        <f>IF(N4&gt;0,(M8/$N$4/12),0)</f>
        <v>1.1675555635581458</v>
      </c>
    </row>
    <row r="9" spans="2:14" ht="24">
      <c r="B9" s="9">
        <v>4</v>
      </c>
      <c r="C9" s="7" t="s">
        <v>21</v>
      </c>
      <c r="D9" s="7" t="s">
        <v>22</v>
      </c>
      <c r="E9" s="11">
        <v>0.01</v>
      </c>
      <c r="F9" s="11">
        <v>1</v>
      </c>
      <c r="G9" s="14">
        <f>170820.86*E9*F9</f>
        <v>1708.2086</v>
      </c>
      <c r="H9" s="14">
        <f>8460.571144905*E9*F9</f>
        <v>84.60571144904999</v>
      </c>
      <c r="I9" s="14">
        <f t="shared" si="0"/>
        <v>0</v>
      </c>
      <c r="J9" s="14">
        <f>162621.45872*E9*F9</f>
        <v>1626.2145872</v>
      </c>
      <c r="K9" s="14">
        <f>35899.803435815*E9*F9</f>
        <v>358.99803435815005</v>
      </c>
      <c r="L9" s="14">
        <f>34164.172*E9*F9</f>
        <v>341.64172</v>
      </c>
      <c r="M9" s="14">
        <f t="shared" si="1"/>
        <v>4119.6686530072</v>
      </c>
      <c r="N9" s="18">
        <f>IF(N4&gt;0,(M9/$N$4/12),0)</f>
        <v>0.17165286054196668</v>
      </c>
    </row>
    <row r="10" spans="2:14" ht="12">
      <c r="B10" s="9">
        <v>5</v>
      </c>
      <c r="C10" s="7" t="s">
        <v>23</v>
      </c>
      <c r="D10" s="7" t="s">
        <v>24</v>
      </c>
      <c r="E10" s="11">
        <v>0.01</v>
      </c>
      <c r="F10" s="11">
        <v>1</v>
      </c>
      <c r="G10" s="14">
        <f>12456.3608*E10*F10</f>
        <v>124.563608</v>
      </c>
      <c r="H10" s="14">
        <f>14671.22075122*E10*F10</f>
        <v>146.7122075122</v>
      </c>
      <c r="I10" s="14">
        <f t="shared" si="0"/>
        <v>0</v>
      </c>
      <c r="J10" s="14">
        <f>11858.4554816*E10*F10</f>
        <v>118.58455481600001</v>
      </c>
      <c r="K10" s="14">
        <f>4093.5338884461*E10*F10</f>
        <v>40.935338884461</v>
      </c>
      <c r="L10" s="14">
        <f>2491.27216*E10*F10</f>
        <v>24.9127216</v>
      </c>
      <c r="M10" s="14">
        <f t="shared" si="1"/>
        <v>455.708430812661</v>
      </c>
      <c r="N10" s="18">
        <f>IF(N4&gt;0,(M10/$N$4/12),0)</f>
        <v>0.018987851283860876</v>
      </c>
    </row>
    <row r="11" spans="2:14" ht="24">
      <c r="B11" s="9">
        <v>6</v>
      </c>
      <c r="C11" s="7" t="s">
        <v>25</v>
      </c>
      <c r="D11" s="7" t="s">
        <v>26</v>
      </c>
      <c r="E11" s="11">
        <v>0.02</v>
      </c>
      <c r="F11" s="11">
        <v>1</v>
      </c>
      <c r="G11" s="14">
        <f>28940.7488*E11*F11</f>
        <v>578.814976</v>
      </c>
      <c r="H11" s="14">
        <f>30931.9796993*E11*F11</f>
        <v>618.639593986</v>
      </c>
      <c r="I11" s="14">
        <f t="shared" si="0"/>
        <v>0</v>
      </c>
      <c r="J11" s="14">
        <f>27551.5928576*E11*F11</f>
        <v>551.031857152</v>
      </c>
      <c r="K11" s="14">
        <f>9179.5537424745*E11*F11</f>
        <v>183.59107484949</v>
      </c>
      <c r="L11" s="14">
        <f>5788.14976*E11*F11</f>
        <v>115.7629952</v>
      </c>
      <c r="M11" s="14">
        <f t="shared" si="1"/>
        <v>2047.8404971874902</v>
      </c>
      <c r="N11" s="18">
        <f>IF(N4&gt;0,(M11/$N$4/12),0)</f>
        <v>0.08532668738281209</v>
      </c>
    </row>
    <row r="12" spans="2:14" ht="24">
      <c r="B12" s="9">
        <v>7</v>
      </c>
      <c r="C12" s="7" t="s">
        <v>27</v>
      </c>
      <c r="D12" s="7" t="s">
        <v>28</v>
      </c>
      <c r="E12" s="11">
        <v>1</v>
      </c>
      <c r="F12" s="11">
        <v>1</v>
      </c>
      <c r="G12" s="14">
        <f>287.45448*E12*F12</f>
        <v>287.45448</v>
      </c>
      <c r="H12" s="14">
        <f>0*E12*F12</f>
        <v>0</v>
      </c>
      <c r="I12" s="14">
        <f t="shared" si="0"/>
        <v>0</v>
      </c>
      <c r="J12" s="14">
        <f>273.65666496*E12*F12</f>
        <v>273.65666496</v>
      </c>
      <c r="K12" s="14">
        <f>58.9166702208*E12*F12</f>
        <v>58.9166702208</v>
      </c>
      <c r="L12" s="14">
        <f>57.490896*E12*F12</f>
        <v>57.490896</v>
      </c>
      <c r="M12" s="14">
        <f t="shared" si="1"/>
        <v>677.5187111808001</v>
      </c>
      <c r="N12" s="18">
        <f>IF(N4&gt;0,(M12/$N$4/12),0)</f>
        <v>0.028229946299200004</v>
      </c>
    </row>
    <row r="13" spans="2:14" ht="24">
      <c r="B13" s="9">
        <v>8</v>
      </c>
      <c r="C13" s="7" t="s">
        <v>29</v>
      </c>
      <c r="D13" s="7" t="s">
        <v>30</v>
      </c>
      <c r="E13" s="11">
        <v>0.01</v>
      </c>
      <c r="F13" s="11">
        <v>1</v>
      </c>
      <c r="G13" s="14">
        <f>23288.2588*E13*F13</f>
        <v>232.882588</v>
      </c>
      <c r="H13" s="14">
        <f>27987.92536795*E13*F13</f>
        <v>279.8792536795</v>
      </c>
      <c r="I13" s="14">
        <f t="shared" si="0"/>
        <v>0</v>
      </c>
      <c r="J13" s="14">
        <f>22170.4223776*E13*F13</f>
        <v>221.704223776</v>
      </c>
      <c r="K13" s="14">
        <f>7711.8936872827*E13*F13</f>
        <v>77.118936872827</v>
      </c>
      <c r="L13" s="14">
        <f>4657.65176*E13*F13</f>
        <v>46.576517599999995</v>
      </c>
      <c r="M13" s="14">
        <f t="shared" si="1"/>
        <v>858.161519928327</v>
      </c>
      <c r="N13" s="18">
        <f>IF(N4&gt;0,(M13/$N$4/12),0)</f>
        <v>0.035756729997013625</v>
      </c>
    </row>
    <row r="14" spans="2:14" ht="12">
      <c r="B14" s="9">
        <v>9</v>
      </c>
      <c r="C14" s="7" t="s">
        <v>31</v>
      </c>
      <c r="D14" s="7" t="s">
        <v>26</v>
      </c>
      <c r="E14" s="11">
        <v>0.03</v>
      </c>
      <c r="F14" s="11">
        <v>1</v>
      </c>
      <c r="G14" s="14">
        <f>11258.6338*E14*F14</f>
        <v>337.759014</v>
      </c>
      <c r="H14" s="14">
        <f>566317.71091504*E14*F14</f>
        <v>16989.5313274512</v>
      </c>
      <c r="I14" s="14">
        <f t="shared" si="0"/>
        <v>0</v>
      </c>
      <c r="J14" s="14">
        <f>10718.2193776*E14*F14</f>
        <v>321.546581328</v>
      </c>
      <c r="K14" s="14">
        <f>61770.929229727*E14*F14</f>
        <v>1853.12787689181</v>
      </c>
      <c r="L14" s="14">
        <f>2251.72676*E14*F14</f>
        <v>67.5518028</v>
      </c>
      <c r="M14" s="14">
        <f t="shared" si="1"/>
        <v>19569.51660247101</v>
      </c>
      <c r="N14" s="18">
        <f>IF(N4&gt;0,(M14/$N$4/12),0)</f>
        <v>0.8153965251029587</v>
      </c>
    </row>
    <row r="15" spans="2:14" ht="24">
      <c r="B15" s="9">
        <v>10</v>
      </c>
      <c r="C15" s="7" t="s">
        <v>32</v>
      </c>
      <c r="D15" s="7" t="s">
        <v>33</v>
      </c>
      <c r="E15" s="11">
        <v>1</v>
      </c>
      <c r="F15" s="11">
        <v>1</v>
      </c>
      <c r="G15" s="14">
        <f>2147.80338*E15*F15</f>
        <v>2147.80338</v>
      </c>
      <c r="H15" s="14">
        <f>523.8127485*E15*F15</f>
        <v>523.8127485</v>
      </c>
      <c r="I15" s="14">
        <f t="shared" si="0"/>
        <v>0</v>
      </c>
      <c r="J15" s="14">
        <f>2044.70881776*E15*F15</f>
        <v>2044.70881776</v>
      </c>
      <c r="K15" s="14">
        <f>495.2141193573*E15*F15</f>
        <v>495.2141193573</v>
      </c>
      <c r="L15" s="14">
        <f>429.560676*E15*F15</f>
        <v>429.560676</v>
      </c>
      <c r="M15" s="14">
        <f t="shared" si="1"/>
        <v>5641.0997416172995</v>
      </c>
      <c r="N15" s="18">
        <f>IF(N4&gt;0,(M15/$N$4/12),0)</f>
        <v>0.23504582256738749</v>
      </c>
    </row>
    <row r="16" spans="2:14" ht="24">
      <c r="B16" s="9">
        <v>11</v>
      </c>
      <c r="C16" s="7" t="s">
        <v>34</v>
      </c>
      <c r="D16" s="7" t="s">
        <v>35</v>
      </c>
      <c r="E16" s="11">
        <v>1</v>
      </c>
      <c r="F16" s="11">
        <v>1</v>
      </c>
      <c r="G16" s="14">
        <f>285.059026*E16*F16</f>
        <v>285.059026</v>
      </c>
      <c r="H16" s="14">
        <f>594.92425224*E16*F16</f>
        <v>594.92425224</v>
      </c>
      <c r="I16" s="14">
        <f t="shared" si="0"/>
        <v>0</v>
      </c>
      <c r="J16" s="14">
        <f>271.376192752*E16*F16</f>
        <v>271.376192752</v>
      </c>
      <c r="K16" s="14">
        <f>120.89274445416*E16*F16</f>
        <v>120.89274445416</v>
      </c>
      <c r="L16" s="14">
        <f>57.0118052*E16*F16</f>
        <v>57.0118052</v>
      </c>
      <c r="M16" s="14">
        <f t="shared" si="1"/>
        <v>1329.2640206461601</v>
      </c>
      <c r="N16" s="18">
        <f>IF(N4&gt;0,(M16/$N$4/12),0)</f>
        <v>0.05538600086025667</v>
      </c>
    </row>
    <row r="17" spans="2:14" ht="24">
      <c r="B17" s="9">
        <v>12</v>
      </c>
      <c r="C17" s="7" t="s">
        <v>36</v>
      </c>
      <c r="D17" s="7" t="s">
        <v>37</v>
      </c>
      <c r="E17" s="11">
        <v>2</v>
      </c>
      <c r="F17" s="11">
        <v>2</v>
      </c>
      <c r="G17" s="14">
        <f>82.934982*E17*F17</f>
        <v>331.739928</v>
      </c>
      <c r="H17" s="14">
        <f aca="true" t="shared" si="2" ref="H17:H38">0*E17*F17</f>
        <v>0</v>
      </c>
      <c r="I17" s="14">
        <f t="shared" si="0"/>
        <v>0</v>
      </c>
      <c r="J17" s="14">
        <f>78.954102864*E17*F17</f>
        <v>315.816411456</v>
      </c>
      <c r="K17" s="14">
        <f>16.99835391072*E17*F17</f>
        <v>67.99341564288</v>
      </c>
      <c r="L17" s="14">
        <f>16.5869964*E17*F17</f>
        <v>66.3479856</v>
      </c>
      <c r="M17" s="14">
        <f t="shared" si="1"/>
        <v>781.89774069888</v>
      </c>
      <c r="N17" s="18">
        <f>IF(N4&gt;0,(M17/$N$4/12),0)</f>
        <v>0.032579072529120005</v>
      </c>
    </row>
    <row r="18" spans="2:14" ht="24">
      <c r="B18" s="9">
        <v>13</v>
      </c>
      <c r="C18" s="7" t="s">
        <v>38</v>
      </c>
      <c r="D18" s="7" t="s">
        <v>37</v>
      </c>
      <c r="E18" s="11">
        <v>2</v>
      </c>
      <c r="F18" s="11">
        <v>2</v>
      </c>
      <c r="G18" s="14">
        <f>661.353318*E18*F18</f>
        <v>2645.413272</v>
      </c>
      <c r="H18" s="14">
        <f t="shared" si="2"/>
        <v>0</v>
      </c>
      <c r="I18" s="14">
        <f t="shared" si="0"/>
        <v>0</v>
      </c>
      <c r="J18" s="14">
        <f>629.608358736*E18*F18</f>
        <v>2518.433434944</v>
      </c>
      <c r="K18" s="14">
        <f>135.55097605728*E18*F18</f>
        <v>542.20390422912</v>
      </c>
      <c r="L18" s="14">
        <f>132.2706636*E18*F18</f>
        <v>529.0826544</v>
      </c>
      <c r="M18" s="14">
        <f t="shared" si="1"/>
        <v>6235.133265573119</v>
      </c>
      <c r="N18" s="18">
        <f>IF(N4&gt;0,(M18/$N$4/12),0)</f>
        <v>0.25979721939887995</v>
      </c>
    </row>
    <row r="19" spans="2:14" ht="24">
      <c r="B19" s="9">
        <v>14</v>
      </c>
      <c r="C19" s="7" t="s">
        <v>39</v>
      </c>
      <c r="D19" s="7" t="s">
        <v>37</v>
      </c>
      <c r="E19" s="11">
        <v>2</v>
      </c>
      <c r="F19" s="11">
        <v>2</v>
      </c>
      <c r="G19" s="14">
        <f>2347.54492*E19*F19</f>
        <v>9390.17968</v>
      </c>
      <c r="H19" s="14">
        <f t="shared" si="2"/>
        <v>0</v>
      </c>
      <c r="I19" s="14">
        <f t="shared" si="0"/>
        <v>0</v>
      </c>
      <c r="J19" s="14">
        <f>2234.86276384*E19*F19</f>
        <v>8939.45105536</v>
      </c>
      <c r="K19" s="14">
        <f>481.1528068032*E19*F19</f>
        <v>1924.6112272128</v>
      </c>
      <c r="L19" s="14">
        <f>469.508984*E19*F19</f>
        <v>1878.035936</v>
      </c>
      <c r="M19" s="14">
        <f t="shared" si="1"/>
        <v>22132.2778985728</v>
      </c>
      <c r="N19" s="18">
        <f>IF(N4&gt;0,(M19/$N$4/12),0)</f>
        <v>0.9221782457738666</v>
      </c>
    </row>
    <row r="20" spans="2:14" ht="24">
      <c r="B20" s="9">
        <v>15</v>
      </c>
      <c r="C20" s="7" t="s">
        <v>40</v>
      </c>
      <c r="D20" s="7" t="s">
        <v>37</v>
      </c>
      <c r="E20" s="11">
        <v>2</v>
      </c>
      <c r="F20" s="11">
        <v>2</v>
      </c>
      <c r="G20" s="14">
        <f>598.8635*E20*F20</f>
        <v>2395.454</v>
      </c>
      <c r="H20" s="14">
        <f t="shared" si="2"/>
        <v>0</v>
      </c>
      <c r="I20" s="14">
        <f t="shared" si="0"/>
        <v>0</v>
      </c>
      <c r="J20" s="14">
        <f>570.118052*E20*F20</f>
        <v>2280.472208</v>
      </c>
      <c r="K20" s="14">
        <f>122.74306296*E20*F20</f>
        <v>490.97225184</v>
      </c>
      <c r="L20" s="14">
        <f>119.7727*E20*F20</f>
        <v>479.0908</v>
      </c>
      <c r="M20" s="14">
        <f t="shared" si="1"/>
        <v>5645.989259840001</v>
      </c>
      <c r="N20" s="18">
        <f>IF(N4&gt;0,(M20/$N$4/12),0)</f>
        <v>0.23524955249333337</v>
      </c>
    </row>
    <row r="21" spans="2:14" ht="12">
      <c r="B21" s="9">
        <v>16</v>
      </c>
      <c r="C21" s="7" t="s">
        <v>41</v>
      </c>
      <c r="D21" s="7" t="s">
        <v>42</v>
      </c>
      <c r="E21" s="11">
        <v>0.5</v>
      </c>
      <c r="F21" s="11">
        <v>2</v>
      </c>
      <c r="G21" s="14">
        <f>503.04534*E21*F21</f>
        <v>503.04534</v>
      </c>
      <c r="H21" s="14">
        <f t="shared" si="2"/>
        <v>0</v>
      </c>
      <c r="I21" s="14">
        <f t="shared" si="0"/>
        <v>0</v>
      </c>
      <c r="J21" s="14">
        <f>478.89916368*E21*F21</f>
        <v>478.89916368</v>
      </c>
      <c r="K21" s="14">
        <f>103.1041728864*E21*F21</f>
        <v>103.1041728864</v>
      </c>
      <c r="L21" s="14">
        <f>100.609068*E21*F21</f>
        <v>100.609068</v>
      </c>
      <c r="M21" s="14">
        <f t="shared" si="1"/>
        <v>1185.6577445664</v>
      </c>
      <c r="N21" s="18">
        <f>IF(N4&gt;0,(M21/$N$4/12),0)</f>
        <v>0.0494024060236</v>
      </c>
    </row>
    <row r="22" spans="2:14" ht="12">
      <c r="B22" s="9">
        <v>17</v>
      </c>
      <c r="C22" s="7" t="s">
        <v>43</v>
      </c>
      <c r="D22" s="7" t="s">
        <v>42</v>
      </c>
      <c r="E22" s="11">
        <v>0.5</v>
      </c>
      <c r="F22" s="11">
        <v>2</v>
      </c>
      <c r="G22" s="14">
        <f>328.177198*E22*F22</f>
        <v>328.177198</v>
      </c>
      <c r="H22" s="14">
        <f t="shared" si="2"/>
        <v>0</v>
      </c>
      <c r="I22" s="14">
        <f t="shared" si="0"/>
        <v>0</v>
      </c>
      <c r="J22" s="14">
        <f>312.424692496*E22*F22</f>
        <v>312.424692496</v>
      </c>
      <c r="K22" s="14">
        <f>67.26319850208*E22*F22</f>
        <v>67.26319850208</v>
      </c>
      <c r="L22" s="14">
        <f>65.6354396*E22*F22</f>
        <v>65.6354396</v>
      </c>
      <c r="M22" s="14">
        <f t="shared" si="1"/>
        <v>773.50052859808</v>
      </c>
      <c r="N22" s="18">
        <f>IF(N4&gt;0,(M22/$N$4/12),0)</f>
        <v>0.03222918869158667</v>
      </c>
    </row>
    <row r="23" spans="2:14" ht="12">
      <c r="B23" s="9">
        <v>18</v>
      </c>
      <c r="C23" s="7" t="s">
        <v>44</v>
      </c>
      <c r="D23" s="7" t="s">
        <v>42</v>
      </c>
      <c r="E23" s="11">
        <v>0.5</v>
      </c>
      <c r="F23" s="11">
        <v>2</v>
      </c>
      <c r="G23" s="14">
        <f>268.290848*E23*F23</f>
        <v>268.290848</v>
      </c>
      <c r="H23" s="14">
        <f t="shared" si="2"/>
        <v>0</v>
      </c>
      <c r="I23" s="14">
        <f t="shared" si="0"/>
        <v>0</v>
      </c>
      <c r="J23" s="14">
        <f>255.412887296*E23*F23</f>
        <v>255.412887296</v>
      </c>
      <c r="K23" s="14">
        <f>54.98889220608*E23*F23</f>
        <v>54.98889220608</v>
      </c>
      <c r="L23" s="14">
        <f>53.6581696*E23*F23</f>
        <v>53.6581696</v>
      </c>
      <c r="M23" s="14">
        <f t="shared" si="1"/>
        <v>632.3507971020799</v>
      </c>
      <c r="N23" s="18">
        <f>IF(N4&gt;0,(M23/$N$4/12),0)</f>
        <v>0.026347949879253332</v>
      </c>
    </row>
    <row r="24" spans="2:14" ht="24">
      <c r="B24" s="9">
        <v>19</v>
      </c>
      <c r="C24" s="7" t="s">
        <v>45</v>
      </c>
      <c r="D24" s="7" t="s">
        <v>37</v>
      </c>
      <c r="E24" s="11">
        <v>2</v>
      </c>
      <c r="F24" s="11">
        <v>2</v>
      </c>
      <c r="G24" s="14">
        <f>958.1816*E24*F24</f>
        <v>3832.7264</v>
      </c>
      <c r="H24" s="14">
        <f t="shared" si="2"/>
        <v>0</v>
      </c>
      <c r="I24" s="14">
        <f t="shared" si="0"/>
        <v>0</v>
      </c>
      <c r="J24" s="14">
        <f>912.1888832*E24*F24</f>
        <v>3648.7555328</v>
      </c>
      <c r="K24" s="14">
        <f>196.388900736*E24*F24</f>
        <v>785.555602944</v>
      </c>
      <c r="L24" s="14">
        <f>191.63632*E24*F24</f>
        <v>766.54528</v>
      </c>
      <c r="M24" s="14">
        <f t="shared" si="1"/>
        <v>9033.582815744</v>
      </c>
      <c r="N24" s="18">
        <f>IF(N4&gt;0,(M24/$N$4/12),0)</f>
        <v>0.3763992839893333</v>
      </c>
    </row>
    <row r="25" spans="2:14" ht="24">
      <c r="B25" s="9">
        <v>20</v>
      </c>
      <c r="C25" s="7" t="s">
        <v>46</v>
      </c>
      <c r="D25" s="7" t="s">
        <v>37</v>
      </c>
      <c r="E25" s="11">
        <v>2</v>
      </c>
      <c r="F25" s="11">
        <v>2</v>
      </c>
      <c r="G25" s="14">
        <f>718.6362*E25*F25</f>
        <v>2874.5448</v>
      </c>
      <c r="H25" s="14">
        <f t="shared" si="2"/>
        <v>0</v>
      </c>
      <c r="I25" s="14">
        <f t="shared" si="0"/>
        <v>0</v>
      </c>
      <c r="J25" s="14">
        <f>684.1416624*E25*F25</f>
        <v>2736.5666496</v>
      </c>
      <c r="K25" s="14">
        <f>147.291675552*E25*F25</f>
        <v>589.166702208</v>
      </c>
      <c r="L25" s="14">
        <f>143.72724*E25*F25</f>
        <v>574.90896</v>
      </c>
      <c r="M25" s="14">
        <f t="shared" si="1"/>
        <v>6775.187111808</v>
      </c>
      <c r="N25" s="18">
        <f>IF(N4&gt;0,(M25/$N$4/12),0)</f>
        <v>0.282299462992</v>
      </c>
    </row>
    <row r="26" spans="2:14" ht="12">
      <c r="B26" s="9">
        <v>21</v>
      </c>
      <c r="C26" s="7" t="s">
        <v>47</v>
      </c>
      <c r="D26" s="7" t="s">
        <v>48</v>
      </c>
      <c r="E26" s="11">
        <v>1</v>
      </c>
      <c r="F26" s="11">
        <v>2</v>
      </c>
      <c r="G26" s="14">
        <f>718.6362*E26*F26</f>
        <v>1437.2724</v>
      </c>
      <c r="H26" s="14">
        <f t="shared" si="2"/>
        <v>0</v>
      </c>
      <c r="I26" s="14">
        <f t="shared" si="0"/>
        <v>0</v>
      </c>
      <c r="J26" s="14">
        <f>684.1416624*E26*F26</f>
        <v>1368.2833248</v>
      </c>
      <c r="K26" s="14">
        <f>147.291675552*E26*F26</f>
        <v>294.583351104</v>
      </c>
      <c r="L26" s="14">
        <f>143.72724*E26*F26</f>
        <v>287.45448</v>
      </c>
      <c r="M26" s="14">
        <f t="shared" si="1"/>
        <v>3387.593555904</v>
      </c>
      <c r="N26" s="18">
        <f>IF(N4&gt;0,(M26/$N$4/12),0)</f>
        <v>0.141149731496</v>
      </c>
    </row>
    <row r="27" spans="2:14" ht="24">
      <c r="B27" s="9">
        <v>22</v>
      </c>
      <c r="C27" s="7" t="s">
        <v>49</v>
      </c>
      <c r="D27" s="7" t="s">
        <v>48</v>
      </c>
      <c r="E27" s="11">
        <v>1</v>
      </c>
      <c r="F27" s="11">
        <v>2</v>
      </c>
      <c r="G27" s="14">
        <f>622.81804*E27*F27</f>
        <v>1245.63608</v>
      </c>
      <c r="H27" s="14">
        <f t="shared" si="2"/>
        <v>0</v>
      </c>
      <c r="I27" s="14">
        <f t="shared" si="0"/>
        <v>0</v>
      </c>
      <c r="J27" s="14">
        <f>592.92277408*E27*F27</f>
        <v>1185.84554816</v>
      </c>
      <c r="K27" s="14">
        <f>127.6527854784*E27*F27</f>
        <v>255.3055709568</v>
      </c>
      <c r="L27" s="14">
        <f>124.563608*E27*F27</f>
        <v>249.127216</v>
      </c>
      <c r="M27" s="14">
        <f t="shared" si="1"/>
        <v>2935.9144151167993</v>
      </c>
      <c r="N27" s="18">
        <f>IF(N4&gt;0,(M27/$N$4/12),0)</f>
        <v>0.12232976729653332</v>
      </c>
    </row>
    <row r="28" spans="2:14" ht="24">
      <c r="B28" s="9">
        <v>23</v>
      </c>
      <c r="C28" s="7" t="s">
        <v>50</v>
      </c>
      <c r="D28" s="7" t="s">
        <v>51</v>
      </c>
      <c r="E28" s="11">
        <v>0.5</v>
      </c>
      <c r="F28" s="11">
        <v>12</v>
      </c>
      <c r="G28" s="14">
        <f>14372.724*E28*F28</f>
        <v>86236.344</v>
      </c>
      <c r="H28" s="14">
        <f t="shared" si="2"/>
        <v>0</v>
      </c>
      <c r="I28" s="14">
        <f t="shared" si="0"/>
        <v>0</v>
      </c>
      <c r="J28" s="14">
        <f>13682.833248*E28*F28</f>
        <v>82096.999488</v>
      </c>
      <c r="K28" s="14">
        <f>2945.83351104*E28*F28</f>
        <v>17675.00106624</v>
      </c>
      <c r="L28" s="14">
        <f>2874.5448*E28*F28</f>
        <v>17247.2688</v>
      </c>
      <c r="M28" s="14">
        <f t="shared" si="1"/>
        <v>203255.61335423996</v>
      </c>
      <c r="N28" s="18">
        <f>IF(N4&gt;0,(M28/$N$4/12),0)</f>
        <v>8.468983889759999</v>
      </c>
    </row>
    <row r="29" spans="2:14" ht="24">
      <c r="B29" s="9">
        <v>24</v>
      </c>
      <c r="C29" s="7" t="s">
        <v>52</v>
      </c>
      <c r="D29" s="7" t="s">
        <v>37</v>
      </c>
      <c r="E29" s="11">
        <v>2</v>
      </c>
      <c r="F29" s="11">
        <v>2</v>
      </c>
      <c r="G29" s="14">
        <f>893.14596*E29*F29</f>
        <v>3572.58384</v>
      </c>
      <c r="H29" s="14">
        <f t="shared" si="2"/>
        <v>0</v>
      </c>
      <c r="I29" s="14">
        <f t="shared" si="0"/>
        <v>0</v>
      </c>
      <c r="J29" s="14">
        <f>850.27495392*E29*F29</f>
        <v>3401.09981568</v>
      </c>
      <c r="K29" s="14">
        <f>183.0591959616*E29*F29</f>
        <v>732.2367838464</v>
      </c>
      <c r="L29" s="14">
        <f>178.629192*E29*F29</f>
        <v>714.516768</v>
      </c>
      <c r="M29" s="14">
        <f t="shared" si="1"/>
        <v>8420.4372075264</v>
      </c>
      <c r="N29" s="18">
        <f>IF(N4&gt;0,(M29/$N$4/12),0)</f>
        <v>0.3508515503136</v>
      </c>
    </row>
    <row r="30" spans="2:14" ht="24">
      <c r="B30" s="9">
        <v>25</v>
      </c>
      <c r="C30" s="7" t="s">
        <v>53</v>
      </c>
      <c r="D30" s="7" t="s">
        <v>37</v>
      </c>
      <c r="E30" s="11">
        <v>2</v>
      </c>
      <c r="F30" s="11">
        <v>2</v>
      </c>
      <c r="G30" s="14">
        <f>893.14596*E30*F30</f>
        <v>3572.58384</v>
      </c>
      <c r="H30" s="14">
        <f t="shared" si="2"/>
        <v>0</v>
      </c>
      <c r="I30" s="14">
        <f t="shared" si="0"/>
        <v>0</v>
      </c>
      <c r="J30" s="14">
        <f>850.27495392*E30*F30</f>
        <v>3401.09981568</v>
      </c>
      <c r="K30" s="14">
        <f>183.0591959616*E30*F30</f>
        <v>732.2367838464</v>
      </c>
      <c r="L30" s="14">
        <f>178.629192*E30*F30</f>
        <v>714.516768</v>
      </c>
      <c r="M30" s="14">
        <f t="shared" si="1"/>
        <v>8420.4372075264</v>
      </c>
      <c r="N30" s="18">
        <f>IF(N4&gt;0,(M30/$N$4/12),0)</f>
        <v>0.3508515503136</v>
      </c>
    </row>
    <row r="31" spans="2:14" ht="24">
      <c r="B31" s="9">
        <v>26</v>
      </c>
      <c r="C31" s="7" t="s">
        <v>54</v>
      </c>
      <c r="D31" s="7" t="s">
        <v>55</v>
      </c>
      <c r="E31" s="11">
        <v>0.25</v>
      </c>
      <c r="F31" s="11">
        <v>2</v>
      </c>
      <c r="G31" s="14">
        <f>2155.9086*E31*F31</f>
        <v>1077.9543</v>
      </c>
      <c r="H31" s="14">
        <f t="shared" si="2"/>
        <v>0</v>
      </c>
      <c r="I31" s="14">
        <f t="shared" si="0"/>
        <v>0</v>
      </c>
      <c r="J31" s="14">
        <f>2052.4249872*E31*F31</f>
        <v>1026.2124936</v>
      </c>
      <c r="K31" s="14">
        <f>441.875026656*E31*F31</f>
        <v>220.937513328</v>
      </c>
      <c r="L31" s="14">
        <f>431.18172*E31*F31</f>
        <v>215.59086</v>
      </c>
      <c r="M31" s="14">
        <f t="shared" si="1"/>
        <v>2540.695166928</v>
      </c>
      <c r="N31" s="18">
        <f>IF(N4&gt;0,(M31/$N$4/12),0)</f>
        <v>0.10586229862200001</v>
      </c>
    </row>
    <row r="32" spans="2:14" ht="24">
      <c r="B32" s="9">
        <v>27</v>
      </c>
      <c r="C32" s="7" t="s">
        <v>56</v>
      </c>
      <c r="D32" s="7" t="s">
        <v>37</v>
      </c>
      <c r="E32" s="11">
        <v>2</v>
      </c>
      <c r="F32" s="11">
        <v>1</v>
      </c>
      <c r="G32" s="14">
        <f>2395.454*E32*F32</f>
        <v>4790.908</v>
      </c>
      <c r="H32" s="14">
        <f t="shared" si="2"/>
        <v>0</v>
      </c>
      <c r="I32" s="14">
        <f t="shared" si="0"/>
        <v>0</v>
      </c>
      <c r="J32" s="14">
        <f>2280.472208*E32*F32</f>
        <v>4560.944416</v>
      </c>
      <c r="K32" s="14">
        <f>490.97225184*E32*F32</f>
        <v>981.94450368</v>
      </c>
      <c r="L32" s="14">
        <f>479.0908*E32*F32</f>
        <v>958.1816</v>
      </c>
      <c r="M32" s="14">
        <f t="shared" si="1"/>
        <v>11291.978519680002</v>
      </c>
      <c r="N32" s="18">
        <f>IF(N4&gt;0,(M32/$N$4/12),0)</f>
        <v>0.47049910498666675</v>
      </c>
    </row>
    <row r="33" spans="2:14" ht="12">
      <c r="B33" s="9">
        <v>28</v>
      </c>
      <c r="C33" s="7" t="s">
        <v>57</v>
      </c>
      <c r="D33" s="7" t="s">
        <v>58</v>
      </c>
      <c r="E33" s="11">
        <v>1</v>
      </c>
      <c r="F33" s="11">
        <v>1</v>
      </c>
      <c r="G33" s="14">
        <f>850.6152*E33*F33</f>
        <v>850.6152</v>
      </c>
      <c r="H33" s="14">
        <f t="shared" si="2"/>
        <v>0</v>
      </c>
      <c r="I33" s="14">
        <f t="shared" si="0"/>
        <v>0</v>
      </c>
      <c r="J33" s="14">
        <f>809.7856704*E33*F33</f>
        <v>809.7856704</v>
      </c>
      <c r="K33" s="14">
        <f>174.342091392*E33*F33</f>
        <v>174.342091392</v>
      </c>
      <c r="L33" s="14">
        <f>170.12304*E33*F33</f>
        <v>170.12304</v>
      </c>
      <c r="M33" s="14">
        <f t="shared" si="1"/>
        <v>2004.8660017919997</v>
      </c>
      <c r="N33" s="18">
        <f>IF(N4&gt;0,(M33/$N$4/12),0)</f>
        <v>0.08353608340799999</v>
      </c>
    </row>
    <row r="34" spans="2:14" ht="24">
      <c r="B34" s="9">
        <v>29</v>
      </c>
      <c r="C34" s="7" t="s">
        <v>59</v>
      </c>
      <c r="D34" s="7" t="s">
        <v>60</v>
      </c>
      <c r="E34" s="11">
        <v>1</v>
      </c>
      <c r="F34" s="11">
        <v>1</v>
      </c>
      <c r="G34" s="14">
        <f>890.7602*E34*F34</f>
        <v>890.7602</v>
      </c>
      <c r="H34" s="14">
        <f t="shared" si="2"/>
        <v>0</v>
      </c>
      <c r="I34" s="14">
        <f>83.07015*E34*F34</f>
        <v>83.07015</v>
      </c>
      <c r="J34" s="14">
        <f>848.0037104*E34*F34</f>
        <v>848.0037104</v>
      </c>
      <c r="K34" s="14">
        <f>191.292576342*E34*F34</f>
        <v>191.292576342</v>
      </c>
      <c r="L34" s="14">
        <f>178.15204*E34*F34</f>
        <v>178.15204</v>
      </c>
      <c r="M34" s="14">
        <f t="shared" si="1"/>
        <v>2191.2786767420002</v>
      </c>
      <c r="N34" s="18">
        <f>IF(N4&gt;0,(M34/$N$4/12),0)</f>
        <v>0.09130327819758334</v>
      </c>
    </row>
    <row r="35" spans="2:14" ht="24">
      <c r="B35" s="9">
        <v>30</v>
      </c>
      <c r="C35" s="7" t="s">
        <v>61</v>
      </c>
      <c r="D35" s="7" t="s">
        <v>60</v>
      </c>
      <c r="E35" s="11">
        <v>1</v>
      </c>
      <c r="F35" s="11">
        <v>1</v>
      </c>
      <c r="G35" s="14">
        <f>25.518456*E35*F35</f>
        <v>25.518456</v>
      </c>
      <c r="H35" s="14">
        <f t="shared" si="2"/>
        <v>0</v>
      </c>
      <c r="I35" s="14">
        <f>0*E35*F35</f>
        <v>0</v>
      </c>
      <c r="J35" s="14">
        <f>24.293570112*E35*F35</f>
        <v>24.293570112</v>
      </c>
      <c r="K35" s="14">
        <f>5.23026274176*E35*F35</f>
        <v>5.23026274176</v>
      </c>
      <c r="L35" s="14">
        <f>5.1036912*E35*F35</f>
        <v>5.1036912</v>
      </c>
      <c r="M35" s="14">
        <f t="shared" si="1"/>
        <v>60.14598005376</v>
      </c>
      <c r="N35" s="18">
        <f>IF(N4&gt;0,(M35/$N$4/12),0)</f>
        <v>0.0025060825022399998</v>
      </c>
    </row>
    <row r="36" spans="2:14" ht="24">
      <c r="B36" s="9">
        <v>31</v>
      </c>
      <c r="C36" s="7" t="s">
        <v>62</v>
      </c>
      <c r="D36" s="7" t="s">
        <v>63</v>
      </c>
      <c r="E36" s="11">
        <v>1</v>
      </c>
      <c r="F36" s="11">
        <v>12</v>
      </c>
      <c r="G36" s="14">
        <f>38.327264*E36*F36</f>
        <v>459.927168</v>
      </c>
      <c r="H36" s="14">
        <f t="shared" si="2"/>
        <v>0</v>
      </c>
      <c r="I36" s="14">
        <f>0*E36*F36</f>
        <v>0</v>
      </c>
      <c r="J36" s="14">
        <f>36.487555328*E36*F36</f>
        <v>437.850663936</v>
      </c>
      <c r="K36" s="14">
        <f>7.85555602944*E36*F36</f>
        <v>94.26667235328</v>
      </c>
      <c r="L36" s="14">
        <f>7.6654528*E36*F36</f>
        <v>91.9854336</v>
      </c>
      <c r="M36" s="14">
        <f t="shared" si="1"/>
        <v>1084.02993788928</v>
      </c>
      <c r="N36" s="18">
        <f>IF(N4&gt;0,(M36/$N$4/12),0)</f>
        <v>0.045167914078720006</v>
      </c>
    </row>
    <row r="37" spans="2:14" ht="36">
      <c r="B37" s="9">
        <v>32</v>
      </c>
      <c r="C37" s="7" t="s">
        <v>64</v>
      </c>
      <c r="D37" s="7" t="s">
        <v>65</v>
      </c>
      <c r="E37" s="11">
        <v>1</v>
      </c>
      <c r="F37" s="11">
        <v>12</v>
      </c>
      <c r="G37" s="14">
        <f>38.327264*E37*F37</f>
        <v>459.927168</v>
      </c>
      <c r="H37" s="14">
        <f t="shared" si="2"/>
        <v>0</v>
      </c>
      <c r="I37" s="14">
        <f>0*E37*F37</f>
        <v>0</v>
      </c>
      <c r="J37" s="14">
        <f>36.487555328*E37*F37</f>
        <v>437.850663936</v>
      </c>
      <c r="K37" s="14">
        <f>7.85555602944*E37*F37</f>
        <v>94.26667235328</v>
      </c>
      <c r="L37" s="14">
        <f>7.6654528*E37*F37</f>
        <v>91.9854336</v>
      </c>
      <c r="M37" s="14">
        <f t="shared" si="1"/>
        <v>1084.02993788928</v>
      </c>
      <c r="N37" s="18">
        <f>IF(N4&gt;0,(M37/$N$4/12),0)</f>
        <v>0.045167914078720006</v>
      </c>
    </row>
    <row r="38" spans="2:14" ht="84">
      <c r="B38" s="9">
        <v>33</v>
      </c>
      <c r="C38" s="7" t="s">
        <v>66</v>
      </c>
      <c r="D38" s="7" t="s">
        <v>67</v>
      </c>
      <c r="E38" s="11">
        <v>2</v>
      </c>
      <c r="F38" s="11">
        <v>1</v>
      </c>
      <c r="G38" s="14">
        <f>2442.503052*E38*F38</f>
        <v>4885.006104</v>
      </c>
      <c r="H38" s="14">
        <f t="shared" si="2"/>
        <v>0</v>
      </c>
      <c r="I38" s="14">
        <f>0*E38*F38</f>
        <v>0</v>
      </c>
      <c r="J38" s="14">
        <f>2325.262905504*E38*F38</f>
        <v>4650.525811008</v>
      </c>
      <c r="K38" s="14">
        <f>500.61542553792*E38*F38</f>
        <v>1001.23085107584</v>
      </c>
      <c r="L38" s="14">
        <f>488.5006104*E38*F38</f>
        <v>977.0012208</v>
      </c>
      <c r="M38" s="14">
        <f t="shared" si="1"/>
        <v>11513.76398688384</v>
      </c>
      <c r="N38" s="18">
        <f>IF(N4&gt;0,(M38/$N$4/12),0)</f>
        <v>0.47974016612015996</v>
      </c>
    </row>
    <row r="39" spans="2:14" ht="19.5" customHeight="1">
      <c r="B39" s="37" t="s">
        <v>68</v>
      </c>
      <c r="C39" s="38"/>
      <c r="D39" s="38"/>
      <c r="E39" s="38"/>
      <c r="F39" s="38"/>
      <c r="G39" s="15">
        <f aca="true" t="shared" si="3" ref="G39:N39">SUM(G6:G38)</f>
        <v>148484.81403399998</v>
      </c>
      <c r="H39" s="15">
        <f t="shared" si="3"/>
        <v>90515.21665763395</v>
      </c>
      <c r="I39" s="15">
        <f t="shared" si="3"/>
        <v>83.07015</v>
      </c>
      <c r="J39" s="15">
        <f t="shared" si="3"/>
        <v>141357.542960368</v>
      </c>
      <c r="K39" s="15">
        <f t="shared" si="3"/>
        <v>39946.26759921011</v>
      </c>
      <c r="L39" s="15">
        <f t="shared" si="3"/>
        <v>29696.962806800006</v>
      </c>
      <c r="M39" s="15">
        <f t="shared" si="3"/>
        <v>450083.874208012</v>
      </c>
      <c r="N39" s="19">
        <f t="shared" si="3"/>
        <v>18.75349475866717</v>
      </c>
    </row>
    <row r="40" spans="2:14" ht="21.75" customHeight="1">
      <c r="B40" s="46" t="s">
        <v>69</v>
      </c>
      <c r="C40" s="47"/>
      <c r="D40" s="47"/>
      <c r="E40" s="47"/>
      <c r="F40" s="47"/>
      <c r="G40" s="48"/>
      <c r="H40" s="48"/>
      <c r="I40" s="48"/>
      <c r="J40" s="48"/>
      <c r="K40" s="48"/>
      <c r="L40" s="48"/>
      <c r="M40" s="48"/>
      <c r="N40" s="49"/>
    </row>
    <row r="41" spans="2:14" ht="24">
      <c r="B41" s="8">
        <v>34</v>
      </c>
      <c r="C41" s="6" t="s">
        <v>70</v>
      </c>
      <c r="D41" s="6" t="s">
        <v>71</v>
      </c>
      <c r="E41" s="10">
        <v>1</v>
      </c>
      <c r="F41" s="10">
        <v>104</v>
      </c>
      <c r="G41" s="13">
        <f>349.1027552*E41*F41</f>
        <v>36306.6865408</v>
      </c>
      <c r="H41" s="13">
        <f>57.43882*E41*F41</f>
        <v>5973.63728</v>
      </c>
      <c r="I41" s="13">
        <f aca="true" t="shared" si="4" ref="I41:I55">0*E41*F41</f>
        <v>0</v>
      </c>
      <c r="J41" s="13">
        <f>332.3458229504*E41*F41</f>
        <v>34563.9655868416</v>
      </c>
      <c r="K41" s="13">
        <f>77.583176805792*E41*F41</f>
        <v>8068.650387802367</v>
      </c>
      <c r="L41" s="13">
        <f>69.82055104*E41*F41</f>
        <v>7261.33730816</v>
      </c>
      <c r="M41" s="13">
        <f aca="true" t="shared" si="5" ref="M41:M56">SUM(G41:L41)</f>
        <v>92174.27710360396</v>
      </c>
      <c r="N41" s="17">
        <f>IF(N4&gt;0,(M41/$N$4/12),0)</f>
        <v>3.840594879316832</v>
      </c>
    </row>
    <row r="42" spans="2:14" ht="24">
      <c r="B42" s="9">
        <v>35</v>
      </c>
      <c r="C42" s="7" t="s">
        <v>72</v>
      </c>
      <c r="D42" s="7" t="s">
        <v>73</v>
      </c>
      <c r="E42" s="11">
        <v>1</v>
      </c>
      <c r="F42" s="11">
        <v>2</v>
      </c>
      <c r="G42" s="14">
        <f>435.8017324*E42*F42</f>
        <v>871.6034648</v>
      </c>
      <c r="H42" s="14">
        <f>35.376165*E42*F42</f>
        <v>70.75233</v>
      </c>
      <c r="I42" s="14">
        <f t="shared" si="4"/>
        <v>0</v>
      </c>
      <c r="J42" s="14">
        <f>414.8832492448*E42*F42</f>
        <v>829.7664984896</v>
      </c>
      <c r="K42" s="14">
        <f>93.036420397704*E42*F42</f>
        <v>186.072840795408</v>
      </c>
      <c r="L42" s="14">
        <f>87.16034648*E42*F42</f>
        <v>174.32069296</v>
      </c>
      <c r="M42" s="14">
        <f t="shared" si="5"/>
        <v>2132.515827045008</v>
      </c>
      <c r="N42" s="18">
        <f>IF(N4&gt;0,(M42/$N$4/12),0)</f>
        <v>0.08885482612687533</v>
      </c>
    </row>
    <row r="43" spans="2:14" ht="24">
      <c r="B43" s="9">
        <v>36</v>
      </c>
      <c r="C43" s="7" t="s">
        <v>74</v>
      </c>
      <c r="D43" s="7" t="s">
        <v>75</v>
      </c>
      <c r="E43" s="11">
        <v>0.5</v>
      </c>
      <c r="F43" s="11">
        <v>2</v>
      </c>
      <c r="G43" s="14">
        <f>438.8775276*E43*F43</f>
        <v>438.8775276</v>
      </c>
      <c r="H43" s="14">
        <f>52.162455*E43*F43</f>
        <v>52.162455</v>
      </c>
      <c r="I43" s="14">
        <f t="shared" si="4"/>
        <v>0</v>
      </c>
      <c r="J43" s="14">
        <f>417.8114062752*E43*F43</f>
        <v>417.8114062752</v>
      </c>
      <c r="K43" s="14">
        <f>95.429395831896*E43*F43</f>
        <v>95.429395831896</v>
      </c>
      <c r="L43" s="14">
        <f>87.77550552*E43*F43</f>
        <v>87.77550552</v>
      </c>
      <c r="M43" s="14">
        <f t="shared" si="5"/>
        <v>1092.056290227096</v>
      </c>
      <c r="N43" s="18">
        <f>IF(N4&gt;0,(M43/$N$4/12),0)</f>
        <v>0.045502345426129</v>
      </c>
    </row>
    <row r="44" spans="2:14" ht="24">
      <c r="B44" s="9">
        <v>37</v>
      </c>
      <c r="C44" s="7" t="s">
        <v>76</v>
      </c>
      <c r="D44" s="7" t="s">
        <v>77</v>
      </c>
      <c r="E44" s="11">
        <v>1</v>
      </c>
      <c r="F44" s="11">
        <v>2</v>
      </c>
      <c r="G44" s="14">
        <f>419.6538076*E44*F44</f>
        <v>839.3076152</v>
      </c>
      <c r="H44" s="14">
        <f>52.162455*E44*F44</f>
        <v>104.32491</v>
      </c>
      <c r="I44" s="14">
        <f t="shared" si="4"/>
        <v>0</v>
      </c>
      <c r="J44" s="14">
        <f>399.5104248352*E44*F44</f>
        <v>799.0208496704</v>
      </c>
      <c r="K44" s="14">
        <f>91.489302180696*E44*F44</f>
        <v>182.978604361392</v>
      </c>
      <c r="L44" s="14">
        <f>83.93076152*E44*F44</f>
        <v>167.86152304</v>
      </c>
      <c r="M44" s="14">
        <f t="shared" si="5"/>
        <v>2093.493502271792</v>
      </c>
      <c r="N44" s="18">
        <f>IF(N4&gt;0,(M44/$N$4/12),0)</f>
        <v>0.08722889592799132</v>
      </c>
    </row>
    <row r="45" spans="2:14" ht="24">
      <c r="B45" s="9">
        <v>38</v>
      </c>
      <c r="C45" s="7" t="s">
        <v>78</v>
      </c>
      <c r="D45" s="7" t="s">
        <v>79</v>
      </c>
      <c r="E45" s="11">
        <v>1</v>
      </c>
      <c r="F45" s="11">
        <v>1</v>
      </c>
      <c r="G45" s="14">
        <f>205.1170924*E45*F45</f>
        <v>205.1170924</v>
      </c>
      <c r="H45" s="14">
        <f>42.76539*E45*F45</f>
        <v>42.76539</v>
      </c>
      <c r="I45" s="14">
        <f t="shared" si="4"/>
        <v>0</v>
      </c>
      <c r="J45" s="14">
        <f>195.2714719648*E45*F45</f>
        <v>195.2714719648</v>
      </c>
      <c r="K45" s="14">
        <f>46.531165208304*E45*F45</f>
        <v>46.531165208304</v>
      </c>
      <c r="L45" s="14">
        <f>41.02341848*E45*F45</f>
        <v>41.02341848</v>
      </c>
      <c r="M45" s="14">
        <f t="shared" si="5"/>
        <v>530.708538053104</v>
      </c>
      <c r="N45" s="18">
        <f>IF(N4&gt;0,(M45/$N$4/12),0)</f>
        <v>0.022112855752212668</v>
      </c>
    </row>
    <row r="46" spans="2:14" ht="24">
      <c r="B46" s="9">
        <v>39</v>
      </c>
      <c r="C46" s="7" t="s">
        <v>80</v>
      </c>
      <c r="D46" s="7" t="s">
        <v>81</v>
      </c>
      <c r="E46" s="11">
        <v>1</v>
      </c>
      <c r="F46" s="11">
        <v>1</v>
      </c>
      <c r="G46" s="14">
        <f>349.2949924*E46*F46</f>
        <v>349.2949924</v>
      </c>
      <c r="H46" s="14">
        <f>42.76539*E46*F46</f>
        <v>42.76539</v>
      </c>
      <c r="I46" s="14">
        <f t="shared" si="4"/>
        <v>0</v>
      </c>
      <c r="J46" s="14">
        <f>332.5288327648*E46*F46</f>
        <v>332.5288327648</v>
      </c>
      <c r="K46" s="14">
        <f>76.081867592304*E46*F46</f>
        <v>76.081867592304</v>
      </c>
      <c r="L46" s="14">
        <f>69.85899848*E46*F46</f>
        <v>69.85899848</v>
      </c>
      <c r="M46" s="14">
        <f t="shared" si="5"/>
        <v>870.5300812371039</v>
      </c>
      <c r="N46" s="18">
        <f>IF(N4&gt;0,(M46/$N$4/12),0)</f>
        <v>0.03627208671821266</v>
      </c>
    </row>
    <row r="47" spans="2:14" ht="12">
      <c r="B47" s="9">
        <v>40</v>
      </c>
      <c r="C47" s="7" t="s">
        <v>82</v>
      </c>
      <c r="D47" s="7" t="s">
        <v>83</v>
      </c>
      <c r="E47" s="11">
        <v>0.05</v>
      </c>
      <c r="F47" s="11">
        <v>104</v>
      </c>
      <c r="G47" s="14">
        <f>431.475796*E47*F47</f>
        <v>2243.6741392</v>
      </c>
      <c r="H47" s="14">
        <f>449.51675*E47*F47</f>
        <v>2337.4871000000003</v>
      </c>
      <c r="I47" s="14">
        <f t="shared" si="4"/>
        <v>0</v>
      </c>
      <c r="J47" s="14">
        <f>410.764957792*E47*F47</f>
        <v>2135.9777805184003</v>
      </c>
      <c r="K47" s="14">
        <f>135.63453789816*E47*F47</f>
        <v>705.2995970704321</v>
      </c>
      <c r="L47" s="14">
        <f>86.2951592*E47*F47</f>
        <v>448.73482784000004</v>
      </c>
      <c r="M47" s="14">
        <f t="shared" si="5"/>
        <v>7871.173444628834</v>
      </c>
      <c r="N47" s="18">
        <f>IF(N4&gt;0,(M47/$N$4/12),0)</f>
        <v>0.3279655601928681</v>
      </c>
    </row>
    <row r="48" spans="2:14" ht="12">
      <c r="B48" s="9">
        <v>41</v>
      </c>
      <c r="C48" s="7" t="s">
        <v>84</v>
      </c>
      <c r="D48" s="7" t="s">
        <v>85</v>
      </c>
      <c r="E48" s="11">
        <v>5</v>
      </c>
      <c r="F48" s="11">
        <v>1</v>
      </c>
      <c r="G48" s="14">
        <f>7.9745175*E48*F48</f>
        <v>39.8725875</v>
      </c>
      <c r="H48" s="14">
        <f>0*E48*F48</f>
        <v>0</v>
      </c>
      <c r="I48" s="14">
        <f t="shared" si="4"/>
        <v>0</v>
      </c>
      <c r="J48" s="14">
        <f>7.59174066*E48*F48</f>
        <v>37.9587033</v>
      </c>
      <c r="K48" s="14">
        <f>1.6344571068*E48*F48</f>
        <v>8.172285534</v>
      </c>
      <c r="L48" s="14">
        <f>1.5949035*E48*F48</f>
        <v>7.9745175</v>
      </c>
      <c r="M48" s="14">
        <f t="shared" si="5"/>
        <v>93.978093834</v>
      </c>
      <c r="N48" s="18">
        <f>IF(N4&gt;0,(M48/$N$4/12),0)</f>
        <v>0.00391575390975</v>
      </c>
    </row>
    <row r="49" spans="2:14" ht="24">
      <c r="B49" s="9">
        <v>42</v>
      </c>
      <c r="C49" s="7" t="s">
        <v>86</v>
      </c>
      <c r="D49" s="7" t="s">
        <v>87</v>
      </c>
      <c r="E49" s="11">
        <v>1</v>
      </c>
      <c r="F49" s="11">
        <v>4</v>
      </c>
      <c r="G49" s="14">
        <f>21.484272*E49*F49</f>
        <v>85.937088</v>
      </c>
      <c r="H49" s="14">
        <f>0*E49*F49</f>
        <v>0</v>
      </c>
      <c r="I49" s="14">
        <f t="shared" si="4"/>
        <v>0</v>
      </c>
      <c r="J49" s="14">
        <f>20.453026944*E49*F49</f>
        <v>81.812107776</v>
      </c>
      <c r="K49" s="14">
        <f>4.40341638912*E49*F49</f>
        <v>17.61366555648</v>
      </c>
      <c r="L49" s="14">
        <f>4.2968544*E49*F49</f>
        <v>17.1874176</v>
      </c>
      <c r="M49" s="14">
        <f t="shared" si="5"/>
        <v>202.55027893248</v>
      </c>
      <c r="N49" s="18">
        <f>IF(N4&gt;0,(M49/$N$4/12),0)</f>
        <v>0.00843959495552</v>
      </c>
    </row>
    <row r="50" spans="2:14" ht="24">
      <c r="B50" s="9">
        <v>43</v>
      </c>
      <c r="C50" s="7" t="s">
        <v>88</v>
      </c>
      <c r="D50" s="7" t="s">
        <v>89</v>
      </c>
      <c r="E50" s="11">
        <v>5</v>
      </c>
      <c r="F50" s="11">
        <v>4</v>
      </c>
      <c r="G50" s="14">
        <f>483.39612*E50*F50</f>
        <v>9667.9224</v>
      </c>
      <c r="H50" s="14">
        <f>0*E50*F50</f>
        <v>0</v>
      </c>
      <c r="I50" s="14">
        <f t="shared" si="4"/>
        <v>0</v>
      </c>
      <c r="J50" s="14">
        <f>460.19310624*E50*F50</f>
        <v>9203.8621248</v>
      </c>
      <c r="K50" s="14">
        <f>99.0768687552*E50*F50</f>
        <v>1981.537375104</v>
      </c>
      <c r="L50" s="14">
        <f>96.679224*E50*F50</f>
        <v>1933.58448</v>
      </c>
      <c r="M50" s="14">
        <f t="shared" si="5"/>
        <v>22786.906379904</v>
      </c>
      <c r="N50" s="18">
        <f>IF(N4&gt;0,(M50/$N$4/12),0)</f>
        <v>0.949454432496</v>
      </c>
    </row>
    <row r="51" spans="2:14" ht="24">
      <c r="B51" s="9">
        <v>44</v>
      </c>
      <c r="C51" s="7" t="s">
        <v>90</v>
      </c>
      <c r="D51" s="7" t="s">
        <v>91</v>
      </c>
      <c r="E51" s="11">
        <v>1</v>
      </c>
      <c r="F51" s="11">
        <v>104</v>
      </c>
      <c r="G51" s="14">
        <f>247.069128*E51*F51</f>
        <v>25695.189312000002</v>
      </c>
      <c r="H51" s="14">
        <f>0*E51*F51</f>
        <v>0</v>
      </c>
      <c r="I51" s="14">
        <f t="shared" si="4"/>
        <v>0</v>
      </c>
      <c r="J51" s="14">
        <f>235.209809856*E51*F51</f>
        <v>24461.820225024</v>
      </c>
      <c r="K51" s="14">
        <f>50.63928847488*E51*F51</f>
        <v>5266.4860013875195</v>
      </c>
      <c r="L51" s="14">
        <f>49.4138256*E51*F51</f>
        <v>5139.0378624</v>
      </c>
      <c r="M51" s="14">
        <f t="shared" si="5"/>
        <v>60562.533400811524</v>
      </c>
      <c r="N51" s="18">
        <f>IF(N4&gt;0,(M51/$N$4/12),0)</f>
        <v>2.52343889170048</v>
      </c>
    </row>
    <row r="52" spans="2:14" ht="24">
      <c r="B52" s="9">
        <v>45</v>
      </c>
      <c r="C52" s="7" t="s">
        <v>92</v>
      </c>
      <c r="D52" s="7" t="s">
        <v>91</v>
      </c>
      <c r="E52" s="11">
        <v>1</v>
      </c>
      <c r="F52" s="11">
        <v>1</v>
      </c>
      <c r="G52" s="14">
        <f>45.654078*E52*F52</f>
        <v>45.654078</v>
      </c>
      <c r="H52" s="14">
        <f>0.2112728725*E52*F52</f>
        <v>0.2112728725</v>
      </c>
      <c r="I52" s="14">
        <f t="shared" si="4"/>
        <v>0</v>
      </c>
      <c r="J52" s="14">
        <f>43.462682256*E52*F52</f>
        <v>43.462682256</v>
      </c>
      <c r="K52" s="14">
        <f>9.3794434784925*E52*F52</f>
        <v>9.3794434784925</v>
      </c>
      <c r="L52" s="14">
        <f>9.1308156*E52*F52</f>
        <v>9.1308156</v>
      </c>
      <c r="M52" s="14">
        <f t="shared" si="5"/>
        <v>107.8382922069925</v>
      </c>
      <c r="N52" s="18">
        <f>IF(N4&gt;0,(M52/$N$4/12),0)</f>
        <v>0.004493262175291355</v>
      </c>
    </row>
    <row r="53" spans="2:14" ht="12">
      <c r="B53" s="9">
        <v>46</v>
      </c>
      <c r="C53" s="7" t="s">
        <v>93</v>
      </c>
      <c r="D53" s="7" t="s">
        <v>91</v>
      </c>
      <c r="E53" s="11">
        <v>1</v>
      </c>
      <c r="F53" s="11">
        <v>1</v>
      </c>
      <c r="G53" s="14">
        <f>1074.2136*E53*F53</f>
        <v>1074.2136</v>
      </c>
      <c r="H53" s="14">
        <f>0*E53*F53</f>
        <v>0</v>
      </c>
      <c r="I53" s="14">
        <f t="shared" si="4"/>
        <v>0</v>
      </c>
      <c r="J53" s="14">
        <f>1022.6513472*E53*F53</f>
        <v>1022.6513472</v>
      </c>
      <c r="K53" s="14">
        <f>220.170819456*E53*F53</f>
        <v>220.170819456</v>
      </c>
      <c r="L53" s="14">
        <f>214.84272*E53*F53</f>
        <v>214.84272</v>
      </c>
      <c r="M53" s="14">
        <f t="shared" si="5"/>
        <v>2531.8784866560004</v>
      </c>
      <c r="N53" s="18">
        <f>IF(N4&gt;0,(M53/$N$4/12),0)</f>
        <v>0.10549493694400001</v>
      </c>
    </row>
    <row r="54" spans="2:14" ht="12">
      <c r="B54" s="9">
        <v>47</v>
      </c>
      <c r="C54" s="7" t="s">
        <v>94</v>
      </c>
      <c r="D54" s="7" t="s">
        <v>95</v>
      </c>
      <c r="E54" s="11">
        <v>1</v>
      </c>
      <c r="F54" s="11">
        <v>1</v>
      </c>
      <c r="G54" s="14">
        <f>435.056508*E54*F54</f>
        <v>435.056508</v>
      </c>
      <c r="H54" s="14">
        <f>2.022825375*E54*F54</f>
        <v>2.022825375</v>
      </c>
      <c r="I54" s="14">
        <f t="shared" si="4"/>
        <v>0</v>
      </c>
      <c r="J54" s="14">
        <f>414.173795616*E54*F54</f>
        <v>414.173795616</v>
      </c>
      <c r="K54" s="14">
        <f>89.381578544055*E54*F54</f>
        <v>89.381578544055</v>
      </c>
      <c r="L54" s="14">
        <f>87.0113016*E54*F54</f>
        <v>87.0113016</v>
      </c>
      <c r="M54" s="14">
        <f t="shared" si="5"/>
        <v>1027.646009135055</v>
      </c>
      <c r="N54" s="18">
        <f>IF(N4&gt;0,(M54/$N$4/12),0)</f>
        <v>0.04281858371396063</v>
      </c>
    </row>
    <row r="55" spans="2:14" ht="36">
      <c r="B55" s="9">
        <v>48</v>
      </c>
      <c r="C55" s="7" t="s">
        <v>96</v>
      </c>
      <c r="D55" s="7" t="s">
        <v>97</v>
      </c>
      <c r="E55" s="11">
        <v>0.5</v>
      </c>
      <c r="F55" s="11">
        <v>1</v>
      </c>
      <c r="G55" s="14">
        <f>1190.86128*E55*F55</f>
        <v>595.43064</v>
      </c>
      <c r="H55" s="14">
        <f>44.4288*E55*F55</f>
        <v>22.2144</v>
      </c>
      <c r="I55" s="14">
        <f t="shared" si="4"/>
        <v>0</v>
      </c>
      <c r="J55" s="14">
        <f>1133.69993856*E55*F55</f>
        <v>566.84996928</v>
      </c>
      <c r="K55" s="14">
        <f>248.7439519488*E55*F55</f>
        <v>124.3719759744</v>
      </c>
      <c r="L55" s="14">
        <f>238.172256*E55*F55</f>
        <v>119.086128</v>
      </c>
      <c r="M55" s="14">
        <f t="shared" si="5"/>
        <v>1427.9531132543998</v>
      </c>
      <c r="N55" s="18">
        <f>IF(N4&gt;0,(M55/$N$4/12),0)</f>
        <v>0.059498046385599995</v>
      </c>
    </row>
    <row r="56" spans="2:14" ht="24">
      <c r="B56" s="9">
        <v>49</v>
      </c>
      <c r="C56" s="7" t="s">
        <v>98</v>
      </c>
      <c r="D56" s="7" t="s">
        <v>99</v>
      </c>
      <c r="E56" s="11">
        <v>1</v>
      </c>
      <c r="F56" s="11">
        <v>2</v>
      </c>
      <c r="G56" s="14">
        <f>87.064848*E56*F56</f>
        <v>174.129696</v>
      </c>
      <c r="H56" s="14">
        <f>0*E56*F56</f>
        <v>0</v>
      </c>
      <c r="I56" s="14">
        <f>151.7450272*E56*F56</f>
        <v>303.4900544</v>
      </c>
      <c r="J56" s="14">
        <f>140.0829737216*E56*F56</f>
        <v>280.1659474432</v>
      </c>
      <c r="K56" s="14">
        <f>39.783749136768*E56*F56</f>
        <v>79.567498273536</v>
      </c>
      <c r="L56" s="14">
        <f>29.42919616*E56*F56</f>
        <v>58.85839232</v>
      </c>
      <c r="M56" s="14">
        <f t="shared" si="5"/>
        <v>896.2115884367361</v>
      </c>
      <c r="N56" s="18">
        <f>IF(N4&gt;0,(M56/$N$4/12),0)</f>
        <v>0.03734214951819734</v>
      </c>
    </row>
    <row r="57" spans="2:14" ht="12.75">
      <c r="B57" s="37" t="s">
        <v>68</v>
      </c>
      <c r="C57" s="38"/>
      <c r="D57" s="38"/>
      <c r="E57" s="38"/>
      <c r="F57" s="38"/>
      <c r="G57" s="15">
        <f aca="true" t="shared" si="6" ref="G57:N57">SUM(G41:G56)</f>
        <v>79067.96728190001</v>
      </c>
      <c r="H57" s="15">
        <f t="shared" si="6"/>
        <v>8648.3433532475</v>
      </c>
      <c r="I57" s="15">
        <f t="shared" si="6"/>
        <v>303.4900544</v>
      </c>
      <c r="J57" s="15">
        <f t="shared" si="6"/>
        <v>75387.09932921999</v>
      </c>
      <c r="K57" s="15">
        <f t="shared" si="6"/>
        <v>17157.72450197059</v>
      </c>
      <c r="L57" s="15">
        <f t="shared" si="6"/>
        <v>15837.625909500002</v>
      </c>
      <c r="M57" s="15">
        <f t="shared" si="6"/>
        <v>196402.25043023808</v>
      </c>
      <c r="N57" s="19">
        <f t="shared" si="6"/>
        <v>8.183427101259921</v>
      </c>
    </row>
    <row r="58" spans="2:14" ht="27.75" customHeight="1">
      <c r="B58" s="39" t="s">
        <v>100</v>
      </c>
      <c r="C58" s="40"/>
      <c r="D58" s="40"/>
      <c r="E58" s="40"/>
      <c r="F58" s="40"/>
      <c r="G58" s="20">
        <f aca="true" t="shared" si="7" ref="G58:N58">G39+G57</f>
        <v>227552.78131589998</v>
      </c>
      <c r="H58" s="20">
        <f t="shared" si="7"/>
        <v>99163.56001088145</v>
      </c>
      <c r="I58" s="20">
        <f t="shared" si="7"/>
        <v>386.56020440000003</v>
      </c>
      <c r="J58" s="20">
        <f t="shared" si="7"/>
        <v>216744.642289588</v>
      </c>
      <c r="K58" s="20">
        <f t="shared" si="7"/>
        <v>57103.9921011807</v>
      </c>
      <c r="L58" s="20">
        <f t="shared" si="7"/>
        <v>45534.58871630001</v>
      </c>
      <c r="M58" s="20">
        <f t="shared" si="7"/>
        <v>646486.1246382501</v>
      </c>
      <c r="N58" s="21">
        <f t="shared" si="7"/>
        <v>26.93692185992709</v>
      </c>
    </row>
    <row r="62" spans="3:14" ht="18">
      <c r="C62" s="41" t="s">
        <v>101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  <row r="63" spans="3:11" ht="19.5" customHeight="1">
      <c r="C63" s="34" t="s">
        <v>102</v>
      </c>
      <c r="D63" s="35"/>
      <c r="E63" s="36">
        <f>G58</f>
        <v>227552.78131589998</v>
      </c>
      <c r="F63" s="35"/>
      <c r="G63" s="34" t="s">
        <v>103</v>
      </c>
      <c r="H63" s="35"/>
      <c r="I63" s="35"/>
      <c r="J63" s="36">
        <f>J58</f>
        <v>216744.642289588</v>
      </c>
      <c r="K63" s="35"/>
    </row>
    <row r="64" spans="3:11" ht="19.5" customHeight="1">
      <c r="C64" s="34" t="s">
        <v>104</v>
      </c>
      <c r="D64" s="35"/>
      <c r="E64" s="36">
        <f>H58</f>
        <v>99163.56001088145</v>
      </c>
      <c r="F64" s="35"/>
      <c r="G64" s="34" t="s">
        <v>105</v>
      </c>
      <c r="H64" s="35"/>
      <c r="I64" s="35"/>
      <c r="J64" s="36">
        <f>K58</f>
        <v>57103.9921011807</v>
      </c>
      <c r="K64" s="35"/>
    </row>
    <row r="65" spans="3:11" ht="19.5" customHeight="1">
      <c r="C65" s="34" t="s">
        <v>106</v>
      </c>
      <c r="D65" s="35"/>
      <c r="E65" s="36">
        <f>I58</f>
        <v>386.56020440000003</v>
      </c>
      <c r="F65" s="35"/>
      <c r="G65" s="34" t="s">
        <v>107</v>
      </c>
      <c r="H65" s="35"/>
      <c r="I65" s="35"/>
      <c r="J65" s="36">
        <f>L58</f>
        <v>45534.58871630001</v>
      </c>
      <c r="K65" s="35"/>
    </row>
    <row r="66" spans="3:11" ht="15">
      <c r="C66" s="5"/>
      <c r="E66" s="22"/>
      <c r="G66" s="34" t="s">
        <v>108</v>
      </c>
      <c r="H66" s="35"/>
      <c r="I66" s="35"/>
      <c r="J66" s="36">
        <f>M58</f>
        <v>646486.1246382501</v>
      </c>
      <c r="K66" s="35"/>
    </row>
  </sheetData>
  <sheetProtection formatCells="0" formatColumns="0" formatRows="0" insertColumns="0" insertRows="0" insertHyperlinks="0" deleteColumns="0" deleteRows="0" sort="0" autoFilter="0" pivotTables="0"/>
  <mergeCells count="23">
    <mergeCell ref="B1:M1"/>
    <mergeCell ref="B4:K4"/>
    <mergeCell ref="L4:M4"/>
    <mergeCell ref="B5:N5"/>
    <mergeCell ref="B39:F39"/>
    <mergeCell ref="B40:N40"/>
    <mergeCell ref="B57:F57"/>
    <mergeCell ref="B58:F58"/>
    <mergeCell ref="C62:N62"/>
    <mergeCell ref="C63:D63"/>
    <mergeCell ref="E63:F63"/>
    <mergeCell ref="G63:I63"/>
    <mergeCell ref="J63:K63"/>
    <mergeCell ref="G66:I66"/>
    <mergeCell ref="J66:K66"/>
    <mergeCell ref="C64:D64"/>
    <mergeCell ref="E64:F64"/>
    <mergeCell ref="G64:I64"/>
    <mergeCell ref="J64:K64"/>
    <mergeCell ref="C65:D65"/>
    <mergeCell ref="E65:F65"/>
    <mergeCell ref="G65:I65"/>
    <mergeCell ref="J65:K65"/>
  </mergeCells>
  <printOptions/>
  <pageMargins left="0.35" right="0.35" top="0.35" bottom="0.35" header="0.3" footer="0.3"/>
  <pageSetup fitToHeight="0" fitToWidth="1" horizontalDpi="600" verticalDpi="600" orientation="landscape" paperSize="9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workbookViewId="0" topLeftCell="B1">
      <selection activeCell="B93" sqref="B93:G93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54" t="s">
        <v>109</v>
      </c>
      <c r="C1" s="54"/>
      <c r="D1" s="54"/>
      <c r="E1" s="54"/>
      <c r="F1" s="54"/>
      <c r="G1" s="54"/>
    </row>
    <row r="3" spans="1:7" ht="27">
      <c r="A3" s="23"/>
      <c r="B3" s="24" t="s">
        <v>0</v>
      </c>
      <c r="C3" s="24" t="s">
        <v>110</v>
      </c>
      <c r="D3" s="24" t="s">
        <v>111</v>
      </c>
      <c r="E3" s="24" t="s">
        <v>3</v>
      </c>
      <c r="F3" s="24" t="s">
        <v>112</v>
      </c>
      <c r="G3" s="25" t="s">
        <v>11</v>
      </c>
    </row>
    <row r="4" spans="2:7" ht="16.5">
      <c r="B4" s="53" t="s">
        <v>113</v>
      </c>
      <c r="C4" s="53"/>
      <c r="D4" s="53"/>
      <c r="E4" s="53"/>
      <c r="F4" s="53"/>
      <c r="G4" s="53"/>
    </row>
    <row r="5" spans="2:7" ht="12">
      <c r="B5" s="26">
        <v>1</v>
      </c>
      <c r="C5" s="28" t="s">
        <v>114</v>
      </c>
      <c r="D5" s="28" t="s">
        <v>115</v>
      </c>
      <c r="E5" s="29">
        <v>2.49</v>
      </c>
      <c r="F5" s="30">
        <v>239.54539999999997</v>
      </c>
      <c r="G5" s="31">
        <f aca="true" t="shared" si="0" ref="G5:G30">E5*F5</f>
        <v>596.468046</v>
      </c>
    </row>
    <row r="6" spans="2:7" ht="12">
      <c r="B6" s="27">
        <v>2</v>
      </c>
      <c r="C6" s="7" t="s">
        <v>116</v>
      </c>
      <c r="D6" s="7" t="s">
        <v>115</v>
      </c>
      <c r="E6" s="12">
        <v>0.416</v>
      </c>
      <c r="F6" s="14">
        <v>239.54539999999997</v>
      </c>
      <c r="G6" s="32">
        <f t="shared" si="0"/>
        <v>99.65088639999999</v>
      </c>
    </row>
    <row r="7" spans="2:7" ht="12">
      <c r="B7" s="27">
        <v>3</v>
      </c>
      <c r="C7" s="7" t="s">
        <v>117</v>
      </c>
      <c r="D7" s="7" t="s">
        <v>115</v>
      </c>
      <c r="E7" s="12">
        <v>0.416</v>
      </c>
      <c r="F7" s="14">
        <v>179.0356</v>
      </c>
      <c r="G7" s="32">
        <f t="shared" si="0"/>
        <v>74.47880959999999</v>
      </c>
    </row>
    <row r="8" spans="2:7" ht="12">
      <c r="B8" s="27">
        <v>4</v>
      </c>
      <c r="C8" s="7" t="s">
        <v>118</v>
      </c>
      <c r="D8" s="7" t="s">
        <v>115</v>
      </c>
      <c r="E8" s="12">
        <v>165.217</v>
      </c>
      <c r="F8" s="14">
        <v>179.0356</v>
      </c>
      <c r="G8" s="32">
        <f t="shared" si="0"/>
        <v>29579.7247252</v>
      </c>
    </row>
    <row r="9" spans="2:7" ht="12">
      <c r="B9" s="27">
        <v>5</v>
      </c>
      <c r="C9" s="7" t="s">
        <v>119</v>
      </c>
      <c r="D9" s="7" t="s">
        <v>115</v>
      </c>
      <c r="E9" s="12">
        <v>2.8</v>
      </c>
      <c r="F9" s="14">
        <v>212.6538</v>
      </c>
      <c r="G9" s="32">
        <f t="shared" si="0"/>
        <v>595.4306399999999</v>
      </c>
    </row>
    <row r="10" spans="2:7" ht="12">
      <c r="B10" s="27">
        <v>6</v>
      </c>
      <c r="C10" s="7" t="s">
        <v>120</v>
      </c>
      <c r="D10" s="7" t="s">
        <v>115</v>
      </c>
      <c r="E10" s="12">
        <v>9.9</v>
      </c>
      <c r="F10" s="14">
        <v>192.23719999999997</v>
      </c>
      <c r="G10" s="32">
        <f t="shared" si="0"/>
        <v>1903.1482799999999</v>
      </c>
    </row>
    <row r="11" spans="2:7" ht="12">
      <c r="B11" s="27">
        <v>7</v>
      </c>
      <c r="C11" s="7" t="s">
        <v>121</v>
      </c>
      <c r="D11" s="7" t="s">
        <v>115</v>
      </c>
      <c r="E11" s="12">
        <v>9.9</v>
      </c>
      <c r="F11" s="14">
        <v>212.6538</v>
      </c>
      <c r="G11" s="32">
        <f t="shared" si="0"/>
        <v>2105.27262</v>
      </c>
    </row>
    <row r="12" spans="2:7" ht="12">
      <c r="B12" s="27">
        <v>8</v>
      </c>
      <c r="C12" s="7" t="s">
        <v>122</v>
      </c>
      <c r="D12" s="7" t="s">
        <v>115</v>
      </c>
      <c r="E12" s="12">
        <v>14</v>
      </c>
      <c r="F12" s="14">
        <v>212.6538</v>
      </c>
      <c r="G12" s="32">
        <f t="shared" si="0"/>
        <v>2977.1531999999997</v>
      </c>
    </row>
    <row r="13" spans="2:7" ht="24">
      <c r="B13" s="27">
        <v>9</v>
      </c>
      <c r="C13" s="7" t="s">
        <v>123</v>
      </c>
      <c r="D13" s="7" t="s">
        <v>115</v>
      </c>
      <c r="E13" s="12">
        <v>5.2</v>
      </c>
      <c r="F13" s="14">
        <v>239.54539999999997</v>
      </c>
      <c r="G13" s="32">
        <f t="shared" si="0"/>
        <v>1245.63608</v>
      </c>
    </row>
    <row r="14" spans="2:7" ht="12">
      <c r="B14" s="27">
        <v>10</v>
      </c>
      <c r="C14" s="7" t="s">
        <v>124</v>
      </c>
      <c r="D14" s="7" t="s">
        <v>115</v>
      </c>
      <c r="E14" s="12">
        <v>6</v>
      </c>
      <c r="F14" s="14">
        <v>239.54539999999997</v>
      </c>
      <c r="G14" s="32">
        <f t="shared" si="0"/>
        <v>1437.2723999999998</v>
      </c>
    </row>
    <row r="15" spans="2:7" ht="12">
      <c r="B15" s="27">
        <v>11</v>
      </c>
      <c r="C15" s="7" t="s">
        <v>125</v>
      </c>
      <c r="D15" s="7" t="s">
        <v>115</v>
      </c>
      <c r="E15" s="12">
        <v>5.92</v>
      </c>
      <c r="F15" s="14">
        <v>239.54539999999997</v>
      </c>
      <c r="G15" s="32">
        <f t="shared" si="0"/>
        <v>1418.1087679999998</v>
      </c>
    </row>
    <row r="16" spans="2:7" ht="12">
      <c r="B16" s="27">
        <v>12</v>
      </c>
      <c r="C16" s="7" t="s">
        <v>126</v>
      </c>
      <c r="D16" s="7" t="s">
        <v>115</v>
      </c>
      <c r="E16" s="12">
        <v>51.3</v>
      </c>
      <c r="F16" s="14">
        <v>239.54539999999997</v>
      </c>
      <c r="G16" s="32">
        <f t="shared" si="0"/>
        <v>12288.679019999998</v>
      </c>
    </row>
    <row r="17" spans="2:7" ht="12">
      <c r="B17" s="27">
        <v>13</v>
      </c>
      <c r="C17" s="7" t="s">
        <v>127</v>
      </c>
      <c r="D17" s="7" t="s">
        <v>115</v>
      </c>
      <c r="E17" s="12">
        <v>54</v>
      </c>
      <c r="F17" s="14">
        <v>179.0356</v>
      </c>
      <c r="G17" s="32">
        <f t="shared" si="0"/>
        <v>9667.9224</v>
      </c>
    </row>
    <row r="18" spans="2:7" ht="24">
      <c r="B18" s="27">
        <v>14</v>
      </c>
      <c r="C18" s="7" t="s">
        <v>128</v>
      </c>
      <c r="D18" s="7" t="s">
        <v>115</v>
      </c>
      <c r="E18" s="12">
        <v>202.931</v>
      </c>
      <c r="F18" s="14">
        <v>192.23719999999997</v>
      </c>
      <c r="G18" s="32">
        <f t="shared" si="0"/>
        <v>39010.887233199996</v>
      </c>
    </row>
    <row r="19" spans="2:7" ht="24">
      <c r="B19" s="27">
        <v>15</v>
      </c>
      <c r="C19" s="7" t="s">
        <v>129</v>
      </c>
      <c r="D19" s="7" t="s">
        <v>115</v>
      </c>
      <c r="E19" s="12">
        <v>0.1875</v>
      </c>
      <c r="F19" s="14">
        <v>212.6538</v>
      </c>
      <c r="G19" s="32">
        <f t="shared" si="0"/>
        <v>39.872587499999995</v>
      </c>
    </row>
    <row r="20" spans="2:7" ht="24">
      <c r="B20" s="27">
        <v>16</v>
      </c>
      <c r="C20" s="7" t="s">
        <v>130</v>
      </c>
      <c r="D20" s="7" t="s">
        <v>115</v>
      </c>
      <c r="E20" s="12">
        <v>16</v>
      </c>
      <c r="F20" s="14">
        <v>239.54539999999997</v>
      </c>
      <c r="G20" s="32">
        <f t="shared" si="0"/>
        <v>3832.7263999999996</v>
      </c>
    </row>
    <row r="21" spans="2:7" ht="24">
      <c r="B21" s="27">
        <v>17</v>
      </c>
      <c r="C21" s="7" t="s">
        <v>131</v>
      </c>
      <c r="D21" s="7" t="s">
        <v>115</v>
      </c>
      <c r="E21" s="12">
        <v>2.39</v>
      </c>
      <c r="F21" s="14">
        <v>239.54539999999997</v>
      </c>
      <c r="G21" s="32">
        <f t="shared" si="0"/>
        <v>572.513506</v>
      </c>
    </row>
    <row r="22" spans="2:7" ht="24">
      <c r="B22" s="27">
        <v>18</v>
      </c>
      <c r="C22" s="7" t="s">
        <v>132</v>
      </c>
      <c r="D22" s="7" t="s">
        <v>115</v>
      </c>
      <c r="E22" s="12">
        <v>3.96</v>
      </c>
      <c r="F22" s="14">
        <v>239.54539999999997</v>
      </c>
      <c r="G22" s="32">
        <f t="shared" si="0"/>
        <v>948.5997839999999</v>
      </c>
    </row>
    <row r="23" spans="2:7" ht="12">
      <c r="B23" s="27">
        <v>19</v>
      </c>
      <c r="C23" s="7" t="s">
        <v>133</v>
      </c>
      <c r="D23" s="7" t="s">
        <v>115</v>
      </c>
      <c r="E23" s="12">
        <v>37.6</v>
      </c>
      <c r="F23" s="14">
        <v>212.6538</v>
      </c>
      <c r="G23" s="32">
        <f t="shared" si="0"/>
        <v>7995.78288</v>
      </c>
    </row>
    <row r="24" spans="2:7" ht="12">
      <c r="B24" s="27">
        <v>20</v>
      </c>
      <c r="C24" s="7" t="s">
        <v>134</v>
      </c>
      <c r="D24" s="7" t="s">
        <v>115</v>
      </c>
      <c r="E24" s="12">
        <v>45.775</v>
      </c>
      <c r="F24" s="14">
        <v>212.6538</v>
      </c>
      <c r="G24" s="32">
        <f t="shared" si="0"/>
        <v>9734.227695</v>
      </c>
    </row>
    <row r="25" spans="2:7" ht="12">
      <c r="B25" s="27">
        <v>21</v>
      </c>
      <c r="C25" s="7" t="s">
        <v>135</v>
      </c>
      <c r="D25" s="7" t="s">
        <v>115</v>
      </c>
      <c r="E25" s="12">
        <v>391.645</v>
      </c>
      <c r="F25" s="14">
        <v>239.54539999999997</v>
      </c>
      <c r="G25" s="32">
        <f t="shared" si="0"/>
        <v>93816.75818299998</v>
      </c>
    </row>
    <row r="26" spans="2:7" ht="12">
      <c r="B26" s="27">
        <v>22</v>
      </c>
      <c r="C26" s="7" t="s">
        <v>136</v>
      </c>
      <c r="D26" s="7" t="s">
        <v>115</v>
      </c>
      <c r="E26" s="12">
        <v>4.6</v>
      </c>
      <c r="F26" s="14">
        <v>275.4058</v>
      </c>
      <c r="G26" s="32">
        <f t="shared" si="0"/>
        <v>1266.8666799999999</v>
      </c>
    </row>
    <row r="27" spans="2:7" ht="12">
      <c r="B27" s="27">
        <v>23</v>
      </c>
      <c r="C27" s="7" t="s">
        <v>137</v>
      </c>
      <c r="D27" s="7" t="s">
        <v>115</v>
      </c>
      <c r="E27" s="12">
        <v>1.1</v>
      </c>
      <c r="F27" s="14">
        <v>321.7224</v>
      </c>
      <c r="G27" s="32">
        <f t="shared" si="0"/>
        <v>353.89464000000004</v>
      </c>
    </row>
    <row r="28" spans="2:7" ht="12">
      <c r="B28" s="27">
        <v>24</v>
      </c>
      <c r="C28" s="7" t="s">
        <v>138</v>
      </c>
      <c r="D28" s="7" t="s">
        <v>115</v>
      </c>
      <c r="E28" s="12">
        <v>12</v>
      </c>
      <c r="F28" s="14">
        <v>239.54539999999997</v>
      </c>
      <c r="G28" s="32">
        <f t="shared" si="0"/>
        <v>2874.5447999999997</v>
      </c>
    </row>
    <row r="29" spans="2:7" ht="24">
      <c r="B29" s="27">
        <v>25</v>
      </c>
      <c r="C29" s="7" t="s">
        <v>139</v>
      </c>
      <c r="D29" s="7" t="s">
        <v>140</v>
      </c>
      <c r="E29" s="12">
        <v>3.96</v>
      </c>
      <c r="F29" s="14">
        <v>275.4058</v>
      </c>
      <c r="G29" s="32">
        <f t="shared" si="0"/>
        <v>1090.606968</v>
      </c>
    </row>
    <row r="30" spans="2:7" ht="24">
      <c r="B30" s="27">
        <v>26</v>
      </c>
      <c r="C30" s="7" t="s">
        <v>141</v>
      </c>
      <c r="D30" s="7" t="s">
        <v>115</v>
      </c>
      <c r="E30" s="12">
        <v>8.46</v>
      </c>
      <c r="F30" s="14">
        <v>239.54539999999997</v>
      </c>
      <c r="G30" s="32">
        <f t="shared" si="0"/>
        <v>2026.5540839999999</v>
      </c>
    </row>
    <row r="31" spans="2:7" ht="12">
      <c r="B31" s="50" t="s">
        <v>142</v>
      </c>
      <c r="C31" s="51"/>
      <c r="D31" s="51"/>
      <c r="E31" s="51"/>
      <c r="F31" s="52"/>
      <c r="G31" s="33">
        <f>SUM(G5:G30)</f>
        <v>227552.7813159</v>
      </c>
    </row>
    <row r="32" spans="2:7" ht="16.5">
      <c r="B32" s="53" t="s">
        <v>143</v>
      </c>
      <c r="C32" s="53"/>
      <c r="D32" s="53"/>
      <c r="E32" s="53"/>
      <c r="F32" s="53"/>
      <c r="G32" s="53"/>
    </row>
    <row r="33" spans="2:7" ht="12">
      <c r="B33" s="26">
        <v>27</v>
      </c>
      <c r="C33" s="28" t="s">
        <v>144</v>
      </c>
      <c r="D33" s="28" t="s">
        <v>145</v>
      </c>
      <c r="E33" s="29">
        <v>0.006</v>
      </c>
      <c r="F33" s="30">
        <v>16959.4751</v>
      </c>
      <c r="G33" s="31">
        <f aca="true" t="shared" si="1" ref="G33:G80">E33*F33</f>
        <v>101.7568506</v>
      </c>
    </row>
    <row r="34" spans="2:7" ht="24">
      <c r="B34" s="27">
        <v>28</v>
      </c>
      <c r="C34" s="7" t="s">
        <v>146</v>
      </c>
      <c r="D34" s="7" t="s">
        <v>145</v>
      </c>
      <c r="E34" s="12">
        <v>0.00122</v>
      </c>
      <c r="F34" s="14">
        <v>64076.039500000006</v>
      </c>
      <c r="G34" s="32">
        <f t="shared" si="1"/>
        <v>78.17276819</v>
      </c>
    </row>
    <row r="35" spans="2:7" ht="24">
      <c r="B35" s="27">
        <v>29</v>
      </c>
      <c r="C35" s="7" t="s">
        <v>147</v>
      </c>
      <c r="D35" s="7" t="s">
        <v>145</v>
      </c>
      <c r="E35" s="12">
        <v>0.005</v>
      </c>
      <c r="F35" s="14">
        <v>61469.3897</v>
      </c>
      <c r="G35" s="32">
        <f t="shared" si="1"/>
        <v>307.3469485</v>
      </c>
    </row>
    <row r="36" spans="2:7" ht="24">
      <c r="B36" s="27">
        <v>30</v>
      </c>
      <c r="C36" s="7" t="s">
        <v>148</v>
      </c>
      <c r="D36" s="7" t="s">
        <v>149</v>
      </c>
      <c r="E36" s="12">
        <v>1</v>
      </c>
      <c r="F36" s="14">
        <v>145.3103</v>
      </c>
      <c r="G36" s="32">
        <f t="shared" si="1"/>
        <v>145.3103</v>
      </c>
    </row>
    <row r="37" spans="2:7" ht="12">
      <c r="B37" s="27">
        <v>31</v>
      </c>
      <c r="C37" s="7" t="s">
        <v>150</v>
      </c>
      <c r="D37" s="7" t="s">
        <v>149</v>
      </c>
      <c r="E37" s="12">
        <v>1</v>
      </c>
      <c r="F37" s="14">
        <v>276.3183</v>
      </c>
      <c r="G37" s="32">
        <f t="shared" si="1"/>
        <v>276.3183</v>
      </c>
    </row>
    <row r="38" spans="2:7" ht="12">
      <c r="B38" s="27">
        <v>32</v>
      </c>
      <c r="C38" s="7" t="s">
        <v>151</v>
      </c>
      <c r="D38" s="7" t="s">
        <v>149</v>
      </c>
      <c r="E38" s="12">
        <v>3</v>
      </c>
      <c r="F38" s="14">
        <v>1393.4552</v>
      </c>
      <c r="G38" s="32">
        <f t="shared" si="1"/>
        <v>4180.3656</v>
      </c>
    </row>
    <row r="39" spans="2:7" ht="12">
      <c r="B39" s="27">
        <v>33</v>
      </c>
      <c r="C39" s="7" t="s">
        <v>152</v>
      </c>
      <c r="D39" s="7" t="s">
        <v>153</v>
      </c>
      <c r="E39" s="12">
        <v>0.938</v>
      </c>
      <c r="F39" s="14">
        <v>42.8802</v>
      </c>
      <c r="G39" s="32">
        <f t="shared" si="1"/>
        <v>40.2216276</v>
      </c>
    </row>
    <row r="40" spans="2:7" ht="12">
      <c r="B40" s="27">
        <v>34</v>
      </c>
      <c r="C40" s="7" t="s">
        <v>154</v>
      </c>
      <c r="D40" s="7" t="s">
        <v>155</v>
      </c>
      <c r="E40" s="12">
        <v>22.42</v>
      </c>
      <c r="F40" s="14">
        <v>0</v>
      </c>
      <c r="G40" s="32">
        <f t="shared" si="1"/>
        <v>0</v>
      </c>
    </row>
    <row r="41" spans="2:7" ht="12">
      <c r="B41" s="27">
        <v>35</v>
      </c>
      <c r="C41" s="7" t="s">
        <v>156</v>
      </c>
      <c r="D41" s="7" t="s">
        <v>149</v>
      </c>
      <c r="E41" s="12">
        <v>1</v>
      </c>
      <c r="F41" s="14">
        <v>1074.0253</v>
      </c>
      <c r="G41" s="32">
        <f t="shared" si="1"/>
        <v>1074.0253</v>
      </c>
    </row>
    <row r="42" spans="2:7" ht="24">
      <c r="B42" s="27">
        <v>36</v>
      </c>
      <c r="C42" s="7" t="s">
        <v>157</v>
      </c>
      <c r="D42" s="7" t="s">
        <v>149</v>
      </c>
      <c r="E42" s="12">
        <v>9</v>
      </c>
      <c r="F42" s="14">
        <v>38.5637</v>
      </c>
      <c r="G42" s="32">
        <f t="shared" si="1"/>
        <v>347.07329999999996</v>
      </c>
    </row>
    <row r="43" spans="2:7" ht="12">
      <c r="B43" s="27">
        <v>37</v>
      </c>
      <c r="C43" s="7" t="s">
        <v>158</v>
      </c>
      <c r="D43" s="7" t="s">
        <v>153</v>
      </c>
      <c r="E43" s="12">
        <v>0.4</v>
      </c>
      <c r="F43" s="14">
        <v>55.536</v>
      </c>
      <c r="G43" s="32">
        <f t="shared" si="1"/>
        <v>22.2144</v>
      </c>
    </row>
    <row r="44" spans="2:7" ht="12">
      <c r="B44" s="27">
        <v>38</v>
      </c>
      <c r="C44" s="7" t="s">
        <v>159</v>
      </c>
      <c r="D44" s="7" t="s">
        <v>149</v>
      </c>
      <c r="E44" s="12">
        <v>1</v>
      </c>
      <c r="F44" s="14">
        <v>2877.6992999999998</v>
      </c>
      <c r="G44" s="32">
        <f t="shared" si="1"/>
        <v>2877.6992999999998</v>
      </c>
    </row>
    <row r="45" spans="2:7" ht="12">
      <c r="B45" s="27">
        <v>39</v>
      </c>
      <c r="C45" s="7" t="s">
        <v>160</v>
      </c>
      <c r="D45" s="7" t="s">
        <v>149</v>
      </c>
      <c r="E45" s="12">
        <v>1</v>
      </c>
      <c r="F45" s="14">
        <v>1794.4625</v>
      </c>
      <c r="G45" s="32">
        <f t="shared" si="1"/>
        <v>1794.4625</v>
      </c>
    </row>
    <row r="46" spans="2:7" ht="12">
      <c r="B46" s="27">
        <v>40</v>
      </c>
      <c r="C46" s="7" t="s">
        <v>161</v>
      </c>
      <c r="D46" s="7" t="s">
        <v>145</v>
      </c>
      <c r="E46" s="12">
        <v>0.00121212</v>
      </c>
      <c r="F46" s="14">
        <v>41598.128300000004</v>
      </c>
      <c r="G46" s="32">
        <f t="shared" si="1"/>
        <v>50.421923274996004</v>
      </c>
    </row>
    <row r="47" spans="2:7" ht="12">
      <c r="B47" s="27">
        <v>41</v>
      </c>
      <c r="C47" s="7" t="s">
        <v>162</v>
      </c>
      <c r="D47" s="7" t="s">
        <v>163</v>
      </c>
      <c r="E47" s="12">
        <v>0.2</v>
      </c>
      <c r="F47" s="14">
        <v>987.1880000000001</v>
      </c>
      <c r="G47" s="32">
        <f t="shared" si="1"/>
        <v>197.43760000000003</v>
      </c>
    </row>
    <row r="48" spans="2:7" ht="12">
      <c r="B48" s="27">
        <v>42</v>
      </c>
      <c r="C48" s="7" t="s">
        <v>164</v>
      </c>
      <c r="D48" s="7" t="s">
        <v>145</v>
      </c>
      <c r="E48" s="12">
        <v>0.001225</v>
      </c>
      <c r="F48" s="14">
        <v>43753.3167</v>
      </c>
      <c r="G48" s="32">
        <f t="shared" si="1"/>
        <v>53.597812957500004</v>
      </c>
    </row>
    <row r="49" spans="2:7" ht="12">
      <c r="B49" s="27">
        <v>43</v>
      </c>
      <c r="C49" s="7" t="s">
        <v>165</v>
      </c>
      <c r="D49" s="7" t="s">
        <v>145</v>
      </c>
      <c r="E49" s="12">
        <v>0.00054</v>
      </c>
      <c r="F49" s="14">
        <v>60535.1033</v>
      </c>
      <c r="G49" s="32">
        <f t="shared" si="1"/>
        <v>32.688955782</v>
      </c>
    </row>
    <row r="50" spans="2:7" ht="12">
      <c r="B50" s="27">
        <v>44</v>
      </c>
      <c r="C50" s="7" t="s">
        <v>166</v>
      </c>
      <c r="D50" s="7" t="s">
        <v>145</v>
      </c>
      <c r="E50" s="12">
        <v>0.0005</v>
      </c>
      <c r="F50" s="14">
        <v>70242.8495</v>
      </c>
      <c r="G50" s="32">
        <f t="shared" si="1"/>
        <v>35.121424749999996</v>
      </c>
    </row>
    <row r="51" spans="2:7" ht="12">
      <c r="B51" s="27">
        <v>45</v>
      </c>
      <c r="C51" s="7" t="s">
        <v>167</v>
      </c>
      <c r="D51" s="7" t="s">
        <v>153</v>
      </c>
      <c r="E51" s="12">
        <v>0.03</v>
      </c>
      <c r="F51" s="14">
        <v>80.13560000000001</v>
      </c>
      <c r="G51" s="32">
        <f t="shared" si="1"/>
        <v>2.404068</v>
      </c>
    </row>
    <row r="52" spans="2:7" ht="12">
      <c r="B52" s="27">
        <v>46</v>
      </c>
      <c r="C52" s="7" t="s">
        <v>168</v>
      </c>
      <c r="D52" s="7" t="s">
        <v>145</v>
      </c>
      <c r="E52" s="12">
        <v>1E-05</v>
      </c>
      <c r="F52" s="14">
        <v>51005.3126</v>
      </c>
      <c r="G52" s="32">
        <f t="shared" si="1"/>
        <v>0.510053126</v>
      </c>
    </row>
    <row r="53" spans="2:7" ht="12">
      <c r="B53" s="27">
        <v>47</v>
      </c>
      <c r="C53" s="7" t="s">
        <v>169</v>
      </c>
      <c r="D53" s="7" t="s">
        <v>155</v>
      </c>
      <c r="E53" s="12">
        <v>0.31</v>
      </c>
      <c r="F53" s="14">
        <v>7087.0611</v>
      </c>
      <c r="G53" s="32">
        <f t="shared" si="1"/>
        <v>2196.988941</v>
      </c>
    </row>
    <row r="54" spans="2:7" ht="24">
      <c r="B54" s="27">
        <v>48</v>
      </c>
      <c r="C54" s="7" t="s">
        <v>170</v>
      </c>
      <c r="D54" s="7" t="s">
        <v>155</v>
      </c>
      <c r="E54" s="12">
        <v>2.62</v>
      </c>
      <c r="F54" s="14">
        <v>8297.5501</v>
      </c>
      <c r="G54" s="32">
        <f t="shared" si="1"/>
        <v>21739.581262000003</v>
      </c>
    </row>
    <row r="55" spans="2:7" ht="12">
      <c r="B55" s="27">
        <v>49</v>
      </c>
      <c r="C55" s="7" t="s">
        <v>171</v>
      </c>
      <c r="D55" s="7" t="s">
        <v>172</v>
      </c>
      <c r="E55" s="12">
        <v>0.520497</v>
      </c>
      <c r="F55" s="14">
        <v>4495.1675000000005</v>
      </c>
      <c r="G55" s="32">
        <f t="shared" si="1"/>
        <v>2339.7211982475</v>
      </c>
    </row>
    <row r="56" spans="2:7" ht="12">
      <c r="B56" s="27">
        <v>50</v>
      </c>
      <c r="C56" s="7" t="s">
        <v>173</v>
      </c>
      <c r="D56" s="7" t="s">
        <v>153</v>
      </c>
      <c r="E56" s="12">
        <v>21.8</v>
      </c>
      <c r="F56" s="14">
        <v>181.6668</v>
      </c>
      <c r="G56" s="32">
        <f t="shared" si="1"/>
        <v>3960.33624</v>
      </c>
    </row>
    <row r="57" spans="2:7" ht="12">
      <c r="B57" s="27">
        <v>51</v>
      </c>
      <c r="C57" s="7" t="s">
        <v>174</v>
      </c>
      <c r="D57" s="7" t="s">
        <v>153</v>
      </c>
      <c r="E57" s="12">
        <v>0.6</v>
      </c>
      <c r="F57" s="14">
        <v>65.1569</v>
      </c>
      <c r="G57" s="32">
        <f t="shared" si="1"/>
        <v>39.094139999999996</v>
      </c>
    </row>
    <row r="58" spans="2:7" ht="24">
      <c r="B58" s="27">
        <v>52</v>
      </c>
      <c r="C58" s="7" t="s">
        <v>175</v>
      </c>
      <c r="D58" s="7" t="s">
        <v>145</v>
      </c>
      <c r="E58" s="12">
        <v>7.7E-05</v>
      </c>
      <c r="F58" s="14">
        <v>148642.3977</v>
      </c>
      <c r="G58" s="32">
        <f t="shared" si="1"/>
        <v>11.4454646229</v>
      </c>
    </row>
    <row r="59" spans="2:7" ht="12">
      <c r="B59" s="27">
        <v>53</v>
      </c>
      <c r="C59" s="7" t="s">
        <v>176</v>
      </c>
      <c r="D59" s="7" t="s">
        <v>145</v>
      </c>
      <c r="E59" s="12">
        <v>0.004112</v>
      </c>
      <c r="F59" s="14">
        <v>75559.79849999999</v>
      </c>
      <c r="G59" s="32">
        <f t="shared" si="1"/>
        <v>310.70189143199997</v>
      </c>
    </row>
    <row r="60" spans="2:7" ht="12">
      <c r="B60" s="27">
        <v>54</v>
      </c>
      <c r="C60" s="7" t="s">
        <v>177</v>
      </c>
      <c r="D60" s="7" t="s">
        <v>153</v>
      </c>
      <c r="E60" s="12">
        <v>0.036</v>
      </c>
      <c r="F60" s="14">
        <v>187.434</v>
      </c>
      <c r="G60" s="32">
        <f t="shared" si="1"/>
        <v>6.747623999999999</v>
      </c>
    </row>
    <row r="61" spans="2:7" ht="12">
      <c r="B61" s="27">
        <v>55</v>
      </c>
      <c r="C61" s="7" t="s">
        <v>178</v>
      </c>
      <c r="D61" s="7" t="s">
        <v>153</v>
      </c>
      <c r="E61" s="12">
        <v>0.5122</v>
      </c>
      <c r="F61" s="14">
        <v>127.90190000000001</v>
      </c>
      <c r="G61" s="32">
        <f t="shared" si="1"/>
        <v>65.51135318</v>
      </c>
    </row>
    <row r="62" spans="2:7" ht="12">
      <c r="B62" s="27">
        <v>56</v>
      </c>
      <c r="C62" s="7" t="s">
        <v>179</v>
      </c>
      <c r="D62" s="7" t="s">
        <v>145</v>
      </c>
      <c r="E62" s="12">
        <v>0.00014</v>
      </c>
      <c r="F62" s="14">
        <v>141346.9876</v>
      </c>
      <c r="G62" s="32">
        <f t="shared" si="1"/>
        <v>19.788578263999998</v>
      </c>
    </row>
    <row r="63" spans="2:7" ht="12">
      <c r="B63" s="27">
        <v>57</v>
      </c>
      <c r="C63" s="7" t="s">
        <v>180</v>
      </c>
      <c r="D63" s="7" t="s">
        <v>149</v>
      </c>
      <c r="E63" s="12">
        <v>1</v>
      </c>
      <c r="F63" s="14">
        <v>16821</v>
      </c>
      <c r="G63" s="32">
        <f t="shared" si="1"/>
        <v>16821</v>
      </c>
    </row>
    <row r="64" spans="2:7" ht="12">
      <c r="B64" s="27">
        <v>58</v>
      </c>
      <c r="C64" s="7" t="s">
        <v>181</v>
      </c>
      <c r="D64" s="7" t="s">
        <v>145</v>
      </c>
      <c r="E64" s="12">
        <v>0.18</v>
      </c>
      <c r="F64" s="14">
        <v>4146.6613</v>
      </c>
      <c r="G64" s="32">
        <f t="shared" si="1"/>
        <v>746.3990339999999</v>
      </c>
    </row>
    <row r="65" spans="2:7" ht="12">
      <c r="B65" s="27">
        <v>59</v>
      </c>
      <c r="C65" s="7" t="s">
        <v>182</v>
      </c>
      <c r="D65" s="7" t="s">
        <v>153</v>
      </c>
      <c r="E65" s="12">
        <v>0.034</v>
      </c>
      <c r="F65" s="14">
        <v>80.13560000000001</v>
      </c>
      <c r="G65" s="32">
        <f t="shared" si="1"/>
        <v>2.7246104000000004</v>
      </c>
    </row>
    <row r="66" spans="2:7" ht="12">
      <c r="B66" s="27">
        <v>60</v>
      </c>
      <c r="C66" s="7" t="s">
        <v>183</v>
      </c>
      <c r="D66" s="7" t="s">
        <v>155</v>
      </c>
      <c r="E66" s="12">
        <v>5.22</v>
      </c>
      <c r="F66" s="14">
        <v>4113.927100000001</v>
      </c>
      <c r="G66" s="32">
        <f t="shared" si="1"/>
        <v>21474.699462000004</v>
      </c>
    </row>
    <row r="67" spans="2:7" ht="12">
      <c r="B67" s="27">
        <v>61</v>
      </c>
      <c r="C67" s="7" t="s">
        <v>184</v>
      </c>
      <c r="D67" s="7" t="s">
        <v>145</v>
      </c>
      <c r="E67" s="12">
        <v>0.0002</v>
      </c>
      <c r="F67" s="14">
        <v>58402.7612</v>
      </c>
      <c r="G67" s="32">
        <f t="shared" si="1"/>
        <v>11.68055224</v>
      </c>
    </row>
    <row r="68" spans="2:7" ht="12">
      <c r="B68" s="27">
        <v>62</v>
      </c>
      <c r="C68" s="7" t="s">
        <v>185</v>
      </c>
      <c r="D68" s="7" t="s">
        <v>153</v>
      </c>
      <c r="E68" s="12">
        <v>2</v>
      </c>
      <c r="F68" s="14">
        <v>108.2329</v>
      </c>
      <c r="G68" s="32">
        <f t="shared" si="1"/>
        <v>216.4658</v>
      </c>
    </row>
    <row r="69" spans="2:7" ht="12">
      <c r="B69" s="27">
        <v>63</v>
      </c>
      <c r="C69" s="7" t="s">
        <v>186</v>
      </c>
      <c r="D69" s="7" t="s">
        <v>187</v>
      </c>
      <c r="E69" s="12">
        <v>30</v>
      </c>
      <c r="F69" s="14">
        <v>152.4036</v>
      </c>
      <c r="G69" s="32">
        <f t="shared" si="1"/>
        <v>4572.108</v>
      </c>
    </row>
    <row r="70" spans="2:7" ht="24">
      <c r="B70" s="27">
        <v>64</v>
      </c>
      <c r="C70" s="7" t="s">
        <v>188</v>
      </c>
      <c r="D70" s="7" t="s">
        <v>189</v>
      </c>
      <c r="E70" s="12">
        <v>2.4137931</v>
      </c>
      <c r="F70" s="14">
        <v>151.0508</v>
      </c>
      <c r="G70" s="32">
        <f t="shared" si="1"/>
        <v>364.60537878948</v>
      </c>
    </row>
    <row r="71" spans="2:7" ht="12">
      <c r="B71" s="27">
        <v>65</v>
      </c>
      <c r="C71" s="7" t="s">
        <v>190</v>
      </c>
      <c r="D71" s="7" t="s">
        <v>145</v>
      </c>
      <c r="E71" s="12">
        <v>8.2E-05</v>
      </c>
      <c r="F71" s="14">
        <v>66844.7405</v>
      </c>
      <c r="G71" s="32">
        <f t="shared" si="1"/>
        <v>5.481268721</v>
      </c>
    </row>
    <row r="72" spans="2:7" ht="12">
      <c r="B72" s="27">
        <v>66</v>
      </c>
      <c r="C72" s="7" t="s">
        <v>191</v>
      </c>
      <c r="D72" s="7" t="s">
        <v>149</v>
      </c>
      <c r="E72" s="12">
        <v>3</v>
      </c>
      <c r="F72" s="14">
        <v>215.0774</v>
      </c>
      <c r="G72" s="32">
        <f t="shared" si="1"/>
        <v>645.2322</v>
      </c>
    </row>
    <row r="73" spans="2:7" ht="12">
      <c r="B73" s="27">
        <v>67</v>
      </c>
      <c r="C73" s="7" t="s">
        <v>192</v>
      </c>
      <c r="D73" s="7" t="s">
        <v>149</v>
      </c>
      <c r="E73" s="12">
        <v>1</v>
      </c>
      <c r="F73" s="14">
        <v>126.38</v>
      </c>
      <c r="G73" s="32">
        <f t="shared" si="1"/>
        <v>126.38</v>
      </c>
    </row>
    <row r="74" spans="2:7" ht="12">
      <c r="B74" s="27">
        <v>68</v>
      </c>
      <c r="C74" s="7" t="s">
        <v>193</v>
      </c>
      <c r="D74" s="7" t="s">
        <v>145</v>
      </c>
      <c r="E74" s="12">
        <v>0.000113</v>
      </c>
      <c r="F74" s="14">
        <v>231872.7146</v>
      </c>
      <c r="G74" s="32">
        <f t="shared" si="1"/>
        <v>26.2016167498</v>
      </c>
    </row>
    <row r="75" spans="2:7" ht="12">
      <c r="B75" s="27">
        <v>69</v>
      </c>
      <c r="C75" s="7" t="s">
        <v>194</v>
      </c>
      <c r="D75" s="7" t="s">
        <v>195</v>
      </c>
      <c r="E75" s="12">
        <v>5.3875</v>
      </c>
      <c r="F75" s="14">
        <v>422.1092</v>
      </c>
      <c r="G75" s="32">
        <f t="shared" si="1"/>
        <v>2274.113315</v>
      </c>
    </row>
    <row r="76" spans="2:7" ht="12">
      <c r="B76" s="27">
        <v>70</v>
      </c>
      <c r="C76" s="7" t="s">
        <v>196</v>
      </c>
      <c r="D76" s="7" t="s">
        <v>149</v>
      </c>
      <c r="E76" s="12">
        <v>1</v>
      </c>
      <c r="F76" s="14">
        <v>435.4236</v>
      </c>
      <c r="G76" s="32">
        <f t="shared" si="1"/>
        <v>435.4236</v>
      </c>
    </row>
    <row r="77" spans="2:7" ht="12">
      <c r="B77" s="27">
        <v>71</v>
      </c>
      <c r="C77" s="7" t="s">
        <v>197</v>
      </c>
      <c r="D77" s="7" t="s">
        <v>149</v>
      </c>
      <c r="E77" s="12">
        <v>0.5</v>
      </c>
      <c r="F77" s="14">
        <v>3387.1798000000003</v>
      </c>
      <c r="G77" s="32">
        <f t="shared" si="1"/>
        <v>1693.5899000000002</v>
      </c>
    </row>
    <row r="78" spans="2:7" ht="24">
      <c r="B78" s="27">
        <v>72</v>
      </c>
      <c r="C78" s="7" t="s">
        <v>198</v>
      </c>
      <c r="D78" s="7" t="s">
        <v>149</v>
      </c>
      <c r="E78" s="12">
        <v>2</v>
      </c>
      <c r="F78" s="14">
        <v>74.938</v>
      </c>
      <c r="G78" s="32">
        <f t="shared" si="1"/>
        <v>149.876</v>
      </c>
    </row>
    <row r="79" spans="2:7" ht="24">
      <c r="B79" s="27">
        <v>73</v>
      </c>
      <c r="C79" s="7" t="s">
        <v>199</v>
      </c>
      <c r="D79" s="7" t="s">
        <v>149</v>
      </c>
      <c r="E79" s="12">
        <v>3</v>
      </c>
      <c r="F79" s="14">
        <v>2406.3019</v>
      </c>
      <c r="G79" s="32">
        <f t="shared" si="1"/>
        <v>7218.905699999999</v>
      </c>
    </row>
    <row r="80" spans="2:7" ht="12">
      <c r="B80" s="27">
        <v>74</v>
      </c>
      <c r="C80" s="7" t="s">
        <v>200</v>
      </c>
      <c r="D80" s="7" t="s">
        <v>145</v>
      </c>
      <c r="E80" s="12">
        <v>0.00084</v>
      </c>
      <c r="F80" s="14">
        <v>85247.37730000001</v>
      </c>
      <c r="G80" s="32">
        <f t="shared" si="1"/>
        <v>71.60779693200001</v>
      </c>
    </row>
    <row r="81" spans="2:7" ht="12">
      <c r="B81" s="50" t="s">
        <v>142</v>
      </c>
      <c r="C81" s="51"/>
      <c r="D81" s="51"/>
      <c r="E81" s="51"/>
      <c r="F81" s="52"/>
      <c r="G81" s="33">
        <f>SUM(G33:G80)</f>
        <v>99163.55996035918</v>
      </c>
    </row>
    <row r="82" spans="2:7" ht="16.5">
      <c r="B82" s="53" t="s">
        <v>201</v>
      </c>
      <c r="C82" s="53"/>
      <c r="D82" s="53"/>
      <c r="E82" s="53"/>
      <c r="F82" s="53"/>
      <c r="G82" s="53"/>
    </row>
    <row r="83" spans="2:7" ht="12">
      <c r="B83" s="26">
        <v>75</v>
      </c>
      <c r="C83" s="28" t="s">
        <v>202</v>
      </c>
      <c r="D83" s="28" t="s">
        <v>149</v>
      </c>
      <c r="E83" s="29">
        <v>0.0992</v>
      </c>
      <c r="F83" s="30">
        <v>0</v>
      </c>
      <c r="G83" s="31">
        <f aca="true" t="shared" si="2" ref="G83:G88">E83*F83</f>
        <v>0</v>
      </c>
    </row>
    <row r="84" spans="2:7" ht="12">
      <c r="B84" s="27">
        <v>76</v>
      </c>
      <c r="C84" s="7" t="s">
        <v>203</v>
      </c>
      <c r="D84" s="7" t="s">
        <v>149</v>
      </c>
      <c r="E84" s="12">
        <v>0.0204</v>
      </c>
      <c r="F84" s="14">
        <v>0</v>
      </c>
      <c r="G84" s="32">
        <f t="shared" si="2"/>
        <v>0</v>
      </c>
    </row>
    <row r="85" spans="2:7" ht="12">
      <c r="B85" s="27">
        <v>77</v>
      </c>
      <c r="C85" s="7" t="s">
        <v>204</v>
      </c>
      <c r="D85" s="7" t="s">
        <v>149</v>
      </c>
      <c r="E85" s="12">
        <v>8.9457</v>
      </c>
      <c r="F85" s="14">
        <v>0</v>
      </c>
      <c r="G85" s="32">
        <f t="shared" si="2"/>
        <v>0</v>
      </c>
    </row>
    <row r="86" spans="2:7" ht="12">
      <c r="B86" s="27">
        <v>78</v>
      </c>
      <c r="C86" s="7" t="s">
        <v>205</v>
      </c>
      <c r="D86" s="7" t="s">
        <v>149</v>
      </c>
      <c r="E86" s="12">
        <v>0.1041</v>
      </c>
      <c r="F86" s="14">
        <v>0</v>
      </c>
      <c r="G86" s="32">
        <f t="shared" si="2"/>
        <v>0</v>
      </c>
    </row>
    <row r="87" spans="2:7" ht="12">
      <c r="B87" s="27">
        <v>79</v>
      </c>
      <c r="C87" s="7" t="s">
        <v>206</v>
      </c>
      <c r="D87" s="7" t="s">
        <v>149</v>
      </c>
      <c r="E87" s="12">
        <v>0.0936</v>
      </c>
      <c r="F87" s="14">
        <v>0</v>
      </c>
      <c r="G87" s="32">
        <f t="shared" si="2"/>
        <v>0</v>
      </c>
    </row>
    <row r="88" spans="2:7" ht="12">
      <c r="B88" s="27">
        <v>80</v>
      </c>
      <c r="C88" s="7" t="s">
        <v>207</v>
      </c>
      <c r="D88" s="7" t="s">
        <v>149</v>
      </c>
      <c r="E88" s="12">
        <v>0.0969532</v>
      </c>
      <c r="F88" s="14">
        <v>0</v>
      </c>
      <c r="G88" s="32">
        <f t="shared" si="2"/>
        <v>0</v>
      </c>
    </row>
    <row r="89" spans="2:7" ht="12">
      <c r="B89" s="50" t="s">
        <v>142</v>
      </c>
      <c r="C89" s="51"/>
      <c r="D89" s="51"/>
      <c r="E89" s="51"/>
      <c r="F89" s="52"/>
      <c r="G89" s="33">
        <f>SUM(G83:G88)</f>
        <v>0</v>
      </c>
    </row>
    <row r="90" spans="2:7" ht="16.5">
      <c r="B90" s="53" t="s">
        <v>208</v>
      </c>
      <c r="C90" s="53"/>
      <c r="D90" s="53"/>
      <c r="E90" s="53"/>
      <c r="F90" s="53"/>
      <c r="G90" s="53"/>
    </row>
    <row r="91" spans="2:7" ht="12">
      <c r="B91" s="26">
        <v>81</v>
      </c>
      <c r="C91" s="28" t="s">
        <v>209</v>
      </c>
      <c r="D91" s="28" t="s">
        <v>210</v>
      </c>
      <c r="E91" s="29">
        <v>0.416</v>
      </c>
      <c r="F91" s="30">
        <v>729.5434</v>
      </c>
      <c r="G91" s="31">
        <f>E91*F91</f>
        <v>303.4900544</v>
      </c>
    </row>
    <row r="92" spans="2:7" ht="24">
      <c r="B92" s="27">
        <v>82</v>
      </c>
      <c r="C92" s="7" t="s">
        <v>211</v>
      </c>
      <c r="D92" s="7" t="s">
        <v>212</v>
      </c>
      <c r="E92" s="12">
        <v>0.75</v>
      </c>
      <c r="F92" s="14">
        <v>110.7602</v>
      </c>
      <c r="G92" s="32">
        <f>E92*F92</f>
        <v>83.07015</v>
      </c>
    </row>
    <row r="93" spans="2:7" ht="12">
      <c r="B93" s="50" t="s">
        <v>142</v>
      </c>
      <c r="C93" s="51"/>
      <c r="D93" s="51"/>
      <c r="E93" s="51"/>
      <c r="F93" s="52"/>
      <c r="G93" s="33">
        <f>SUM(G91:G92)</f>
        <v>386.56020440000003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89:F89"/>
    <mergeCell ref="B90:G90"/>
    <mergeCell ref="B93:F93"/>
    <mergeCell ref="B1:G1"/>
    <mergeCell ref="B4:G4"/>
    <mergeCell ref="B31:F31"/>
    <mergeCell ref="B32:G32"/>
    <mergeCell ref="B81:F81"/>
    <mergeCell ref="B82:G82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Гульфира</cp:lastModifiedBy>
  <dcterms:created xsi:type="dcterms:W3CDTF">2021-06-03T16:20:27Z</dcterms:created>
  <dcterms:modified xsi:type="dcterms:W3CDTF">2021-06-04T10:02:05Z</dcterms:modified>
  <cp:category>ÑÐ¼ÐµÑ‚Ð°</cp:category>
  <cp:version/>
  <cp:contentType/>
  <cp:contentStatus/>
</cp:coreProperties>
</file>